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2.xml" ContentType="application/vnd.openxmlformats-officedocument.spreadsheetml.comments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G:\Meu Drive\CCON JP\2022\Licitações\Limpeza\"/>
    </mc:Choice>
  </mc:AlternateContent>
  <xr:revisionPtr revIDLastSave="0" documentId="13_ncr:1_{5D31A2EE-0A63-4EAA-B672-3C72FAE5D2A9}" xr6:coauthVersionLast="47" xr6:coauthVersionMax="47" xr10:uidLastSave="{00000000-0000-0000-0000-000000000000}"/>
  <bookViews>
    <workbookView xWindow="-120" yWindow="-120" windowWidth="20730" windowHeight="11040" firstSheet="6" activeTab="8" xr2:uid="{00000000-000D-0000-FFFF-FFFF00000000}"/>
  </bookViews>
  <sheets>
    <sheet name="MENU PLANILHA" sheetId="7" r:id="rId1"/>
    <sheet name="An IIA Relacao Postos" sheetId="3" r:id="rId2"/>
    <sheet name="An IIB Relacao Equip" sheetId="4" r:id="rId3"/>
    <sheet name="An IIC Uniformes" sheetId="6" r:id="rId4"/>
    <sheet name="An IID Materiais" sheetId="22" r:id="rId5"/>
    <sheet name="An III Custo Postos" sheetId="19" r:id="rId6"/>
    <sheet name="Anexo IV-A Custos Final" sheetId="1" r:id="rId7"/>
    <sheet name="Anexo IVB Custos m2" sheetId="21" r:id="rId8"/>
    <sheet name="Anexo IVC Detalhamento Postos" sheetId="24" r:id="rId9"/>
  </sheets>
  <definedNames>
    <definedName name="_xlnm._FilterDatabase" localSheetId="1" hidden="1">'An IIA Relacao Postos'!#REF!</definedName>
    <definedName name="_xlnm.Print_Area" localSheetId="5">'An III Custo Postos'!$A$1:$G$159</definedName>
    <definedName name="_xlnm.Print_Area" localSheetId="6">'Anexo IV-A Custos Final'!$A$1:$G$13</definedName>
    <definedName name="_xlnm.Print_Area" localSheetId="7">'Anexo IVB Custos m2'!$A$1:$F$21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1" i="24" l="1"/>
  <c r="C139" i="24"/>
  <c r="C136" i="24"/>
  <c r="C135" i="24"/>
  <c r="C133" i="24"/>
  <c r="C130" i="24"/>
  <c r="C129" i="24"/>
  <c r="C128" i="24"/>
  <c r="C127" i="24"/>
  <c r="C126" i="24"/>
  <c r="C125" i="24"/>
  <c r="C124" i="24"/>
  <c r="C123" i="24"/>
  <c r="C122" i="24"/>
  <c r="C120" i="24"/>
  <c r="C119" i="24"/>
  <c r="C118" i="24"/>
  <c r="C117" i="24"/>
  <c r="C116" i="24"/>
  <c r="C115" i="24"/>
  <c r="C112" i="24"/>
  <c r="C111" i="24"/>
  <c r="C109" i="24"/>
  <c r="C108" i="24"/>
  <c r="C107" i="24"/>
  <c r="C106" i="24"/>
  <c r="C105" i="24"/>
  <c r="C103" i="24"/>
  <c r="C102" i="24"/>
  <c r="C101" i="24"/>
  <c r="C100" i="24"/>
  <c r="C99" i="24"/>
  <c r="C98" i="24"/>
  <c r="C97" i="24"/>
  <c r="C96" i="24"/>
  <c r="C95" i="24"/>
  <c r="C92" i="24"/>
  <c r="C91" i="24"/>
  <c r="C90" i="24"/>
  <c r="C89" i="24"/>
  <c r="C86" i="24"/>
  <c r="C85" i="24"/>
  <c r="C84" i="24"/>
  <c r="C83" i="24"/>
  <c r="C82" i="24"/>
  <c r="C81" i="24"/>
  <c r="C80" i="24"/>
  <c r="C79" i="24"/>
  <c r="C78" i="24"/>
  <c r="C77" i="24"/>
  <c r="C75" i="24"/>
  <c r="C74" i="24"/>
  <c r="C73" i="24"/>
  <c r="C72" i="24"/>
  <c r="C71" i="24"/>
  <c r="C69" i="24"/>
  <c r="C68" i="24"/>
  <c r="C67" i="24"/>
  <c r="C66" i="24"/>
  <c r="C64" i="24"/>
  <c r="C63" i="24"/>
  <c r="C62" i="24"/>
  <c r="C61" i="24"/>
  <c r="C60" i="24"/>
  <c r="C59" i="24"/>
  <c r="C58" i="24"/>
  <c r="C56" i="24"/>
  <c r="C55" i="24"/>
  <c r="C54" i="24"/>
  <c r="C53" i="24"/>
  <c r="C52" i="24"/>
  <c r="C51" i="24"/>
  <c r="C50" i="24"/>
  <c r="C49" i="24"/>
  <c r="C48" i="24"/>
  <c r="C45" i="24"/>
  <c r="C44" i="24"/>
  <c r="C43" i="24"/>
  <c r="C42" i="24"/>
  <c r="C41" i="24"/>
  <c r="C39" i="24"/>
  <c r="C38" i="24"/>
  <c r="C37" i="24"/>
  <c r="C36" i="24"/>
  <c r="C35" i="24"/>
  <c r="C32" i="24"/>
  <c r="C31" i="24"/>
  <c r="C30" i="24"/>
  <c r="C29" i="24"/>
  <c r="C28" i="24"/>
  <c r="C27" i="24"/>
  <c r="C26" i="24"/>
  <c r="C24" i="24"/>
  <c r="C23" i="24"/>
  <c r="C22" i="24"/>
  <c r="C21" i="24"/>
  <c r="C20" i="24"/>
  <c r="C19" i="24"/>
  <c r="C18" i="24"/>
  <c r="C17" i="24"/>
  <c r="C9" i="24"/>
  <c r="J77" i="24"/>
  <c r="J87" i="24" s="1"/>
  <c r="K77" i="24"/>
  <c r="K87" i="24" s="1"/>
  <c r="E59" i="19"/>
  <c r="F59" i="19"/>
  <c r="G59" i="19"/>
  <c r="D59" i="19"/>
  <c r="H25" i="4"/>
  <c r="I131" i="24"/>
  <c r="K131" i="24"/>
  <c r="J131" i="24"/>
  <c r="D14" i="21"/>
  <c r="J139" i="24"/>
  <c r="K139" i="24"/>
  <c r="J120" i="24"/>
  <c r="K120" i="24"/>
  <c r="J113" i="24"/>
  <c r="K113" i="24"/>
  <c r="J103" i="24"/>
  <c r="K103" i="24"/>
  <c r="J93" i="24"/>
  <c r="K93" i="24"/>
  <c r="J75" i="24"/>
  <c r="K75" i="24"/>
  <c r="J69" i="24"/>
  <c r="K69" i="24"/>
  <c r="J64" i="24"/>
  <c r="K64" i="24"/>
  <c r="J56" i="24"/>
  <c r="K56" i="24"/>
  <c r="J46" i="24"/>
  <c r="K46" i="24"/>
  <c r="J39" i="24"/>
  <c r="K39" i="24"/>
  <c r="J33" i="24"/>
  <c r="K33" i="24"/>
  <c r="J24" i="24"/>
  <c r="K24" i="24"/>
  <c r="C93" i="24" l="1"/>
  <c r="C87" i="24"/>
  <c r="H24" i="4"/>
  <c r="H23" i="4"/>
  <c r="C33" i="24"/>
  <c r="C46" i="24"/>
  <c r="C110" i="24"/>
  <c r="C113" i="24"/>
  <c r="D136" i="24"/>
  <c r="D139" i="24" s="1"/>
  <c r="F133" i="24"/>
  <c r="F139" i="24" s="1"/>
  <c r="E133" i="24"/>
  <c r="D133" i="24"/>
  <c r="F92" i="24"/>
  <c r="E92" i="24"/>
  <c r="D92" i="24"/>
  <c r="F77" i="24"/>
  <c r="F87" i="24" s="1"/>
  <c r="E77" i="24"/>
  <c r="D77" i="24"/>
  <c r="F48" i="24"/>
  <c r="E48" i="24"/>
  <c r="D48" i="24"/>
  <c r="G28" i="24"/>
  <c r="G33" i="24" s="1"/>
  <c r="F28" i="24"/>
  <c r="F33" i="24" s="1"/>
  <c r="E28" i="24"/>
  <c r="D28" i="24"/>
  <c r="D33" i="24" s="1"/>
  <c r="D24" i="24"/>
  <c r="H16" i="4"/>
  <c r="H17" i="4"/>
  <c r="G16" i="4"/>
  <c r="G17" i="4"/>
  <c r="G18" i="4"/>
  <c r="H18" i="4" s="1"/>
  <c r="G19" i="4"/>
  <c r="H19" i="4" s="1"/>
  <c r="G20" i="4"/>
  <c r="H20" i="4" s="1"/>
  <c r="C66" i="4"/>
  <c r="H139" i="24"/>
  <c r="G139" i="24"/>
  <c r="E139" i="24"/>
  <c r="I138" i="24"/>
  <c r="J138" i="24" s="1"/>
  <c r="K138" i="24" s="1"/>
  <c r="K136" i="24"/>
  <c r="J136" i="24"/>
  <c r="K135" i="24"/>
  <c r="J135" i="24"/>
  <c r="I134" i="24"/>
  <c r="I139" i="24" s="1"/>
  <c r="K133" i="24"/>
  <c r="J133" i="24"/>
  <c r="H131" i="24"/>
  <c r="G131" i="24"/>
  <c r="F131" i="24"/>
  <c r="E131" i="24"/>
  <c r="D131" i="24"/>
  <c r="K130" i="24"/>
  <c r="J130" i="24"/>
  <c r="K129" i="24"/>
  <c r="J129" i="24"/>
  <c r="K128" i="24"/>
  <c r="J128" i="24"/>
  <c r="K127" i="24"/>
  <c r="J127" i="24"/>
  <c r="K126" i="24"/>
  <c r="J126" i="24"/>
  <c r="I125" i="24"/>
  <c r="J125" i="24" s="1"/>
  <c r="K124" i="24"/>
  <c r="J124" i="24"/>
  <c r="K123" i="24"/>
  <c r="J123" i="24"/>
  <c r="K122" i="24"/>
  <c r="J122" i="24"/>
  <c r="I120" i="24"/>
  <c r="H120" i="24"/>
  <c r="G120" i="24"/>
  <c r="F120" i="24"/>
  <c r="E120" i="24"/>
  <c r="D120" i="24"/>
  <c r="K119" i="24"/>
  <c r="J119" i="24"/>
  <c r="K118" i="24"/>
  <c r="J118" i="24"/>
  <c r="K117" i="24"/>
  <c r="J117" i="24"/>
  <c r="K116" i="24"/>
  <c r="J116" i="24"/>
  <c r="K115" i="24"/>
  <c r="J115" i="24"/>
  <c r="I113" i="24"/>
  <c r="H113" i="24"/>
  <c r="G113" i="24"/>
  <c r="F113" i="24"/>
  <c r="E113" i="24"/>
  <c r="D113" i="24"/>
  <c r="K112" i="24"/>
  <c r="J112" i="24"/>
  <c r="K111" i="24"/>
  <c r="J111" i="24"/>
  <c r="K110" i="24"/>
  <c r="J110" i="24"/>
  <c r="K109" i="24"/>
  <c r="J109" i="24"/>
  <c r="K108" i="24"/>
  <c r="J108" i="24"/>
  <c r="K107" i="24"/>
  <c r="J107" i="24"/>
  <c r="K106" i="24"/>
  <c r="J106" i="24"/>
  <c r="K105" i="24"/>
  <c r="J105" i="24"/>
  <c r="H103" i="24"/>
  <c r="G103" i="24"/>
  <c r="F103" i="24"/>
  <c r="E103" i="24"/>
  <c r="D103" i="24"/>
  <c r="K102" i="24"/>
  <c r="J102" i="24"/>
  <c r="K101" i="24"/>
  <c r="J101" i="24"/>
  <c r="K100" i="24"/>
  <c r="J100" i="24"/>
  <c r="K99" i="24"/>
  <c r="J99" i="24"/>
  <c r="I98" i="24"/>
  <c r="K98" i="24" s="1"/>
  <c r="I97" i="24"/>
  <c r="K97" i="24" s="1"/>
  <c r="I96" i="24"/>
  <c r="I103" i="24" s="1"/>
  <c r="K95" i="24"/>
  <c r="J95" i="24"/>
  <c r="I93" i="24"/>
  <c r="H93" i="24"/>
  <c r="G93" i="24"/>
  <c r="F93" i="24"/>
  <c r="E93" i="24"/>
  <c r="D93" i="24"/>
  <c r="K92" i="24"/>
  <c r="J92" i="24"/>
  <c r="K91" i="24"/>
  <c r="J91" i="24"/>
  <c r="K90" i="24"/>
  <c r="J90" i="24"/>
  <c r="K89" i="24"/>
  <c r="J89" i="24"/>
  <c r="H87" i="24"/>
  <c r="G87" i="24"/>
  <c r="E87" i="24"/>
  <c r="D87" i="24"/>
  <c r="K86" i="24"/>
  <c r="J86" i="24"/>
  <c r="K85" i="24"/>
  <c r="J85" i="24"/>
  <c r="K84" i="24"/>
  <c r="J84" i="24"/>
  <c r="K83" i="24"/>
  <c r="J83" i="24"/>
  <c r="I82" i="24"/>
  <c r="K82" i="24" s="1"/>
  <c r="K81" i="24"/>
  <c r="J81" i="24"/>
  <c r="K80" i="24"/>
  <c r="J80" i="24"/>
  <c r="K79" i="24"/>
  <c r="J79" i="24"/>
  <c r="K78" i="24"/>
  <c r="J78" i="24"/>
  <c r="I76" i="24"/>
  <c r="I75" i="24"/>
  <c r="H75" i="24"/>
  <c r="G75" i="24"/>
  <c r="F75" i="24"/>
  <c r="E75" i="24"/>
  <c r="D75" i="24"/>
  <c r="K74" i="24"/>
  <c r="J74" i="24"/>
  <c r="K73" i="24"/>
  <c r="J73" i="24"/>
  <c r="K72" i="24"/>
  <c r="J72" i="24"/>
  <c r="K71" i="24"/>
  <c r="J71" i="24"/>
  <c r="H69" i="24"/>
  <c r="G69" i="24"/>
  <c r="F69" i="24"/>
  <c r="E69" i="24"/>
  <c r="D69" i="24"/>
  <c r="K68" i="24"/>
  <c r="J68" i="24"/>
  <c r="K67" i="24"/>
  <c r="J67" i="24"/>
  <c r="I66" i="24"/>
  <c r="K66" i="24" s="1"/>
  <c r="I64" i="24"/>
  <c r="H64" i="24"/>
  <c r="G64" i="24"/>
  <c r="F64" i="24"/>
  <c r="E64" i="24"/>
  <c r="D64" i="24"/>
  <c r="K63" i="24"/>
  <c r="J63" i="24"/>
  <c r="K62" i="24"/>
  <c r="J62" i="24"/>
  <c r="K61" i="24"/>
  <c r="J61" i="24"/>
  <c r="K60" i="24"/>
  <c r="J60" i="24"/>
  <c r="K59" i="24"/>
  <c r="J59" i="24"/>
  <c r="K58" i="24"/>
  <c r="J58" i="24"/>
  <c r="I56" i="24"/>
  <c r="H56" i="24"/>
  <c r="G56" i="24"/>
  <c r="F56" i="24"/>
  <c r="E56" i="24"/>
  <c r="D56" i="24"/>
  <c r="K55" i="24"/>
  <c r="J55" i="24"/>
  <c r="K54" i="24"/>
  <c r="J54" i="24"/>
  <c r="K53" i="24"/>
  <c r="J53" i="24"/>
  <c r="K52" i="24"/>
  <c r="J52" i="24"/>
  <c r="K51" i="24"/>
  <c r="J51" i="24"/>
  <c r="K50" i="24"/>
  <c r="J50" i="24"/>
  <c r="K49" i="24"/>
  <c r="J49" i="24"/>
  <c r="K48" i="24"/>
  <c r="J48" i="24"/>
  <c r="H46" i="24"/>
  <c r="G46" i="24"/>
  <c r="F46" i="24"/>
  <c r="E46" i="24"/>
  <c r="D46" i="24"/>
  <c r="K45" i="24"/>
  <c r="J45" i="24"/>
  <c r="K44" i="24"/>
  <c r="J44" i="24"/>
  <c r="K43" i="24"/>
  <c r="J43" i="24"/>
  <c r="I42" i="24"/>
  <c r="K42" i="24" s="1"/>
  <c r="K41" i="24"/>
  <c r="J41" i="24"/>
  <c r="I39" i="24"/>
  <c r="H39" i="24"/>
  <c r="G39" i="24"/>
  <c r="F39" i="24"/>
  <c r="E39" i="24"/>
  <c r="D39" i="24"/>
  <c r="K38" i="24"/>
  <c r="J38" i="24"/>
  <c r="K37" i="24"/>
  <c r="J37" i="24"/>
  <c r="K36" i="24"/>
  <c r="J36" i="24"/>
  <c r="K35" i="24"/>
  <c r="J35" i="24"/>
  <c r="I33" i="24"/>
  <c r="H33" i="24"/>
  <c r="E33" i="24"/>
  <c r="K31" i="24"/>
  <c r="J31" i="24"/>
  <c r="K30" i="24"/>
  <c r="J30" i="24"/>
  <c r="K29" i="24"/>
  <c r="J29" i="24"/>
  <c r="K28" i="24"/>
  <c r="J28" i="24"/>
  <c r="K27" i="24"/>
  <c r="J27" i="24"/>
  <c r="K26" i="24"/>
  <c r="J26" i="24"/>
  <c r="H24" i="24"/>
  <c r="G24" i="24"/>
  <c r="F24" i="24"/>
  <c r="E24" i="24"/>
  <c r="K23" i="24"/>
  <c r="J23" i="24"/>
  <c r="K22" i="24"/>
  <c r="J22" i="24"/>
  <c r="K21" i="24"/>
  <c r="J21" i="24"/>
  <c r="I20" i="24"/>
  <c r="K20" i="24" s="1"/>
  <c r="K19" i="24"/>
  <c r="J19" i="24"/>
  <c r="K18" i="24"/>
  <c r="J18" i="24"/>
  <c r="I17" i="24"/>
  <c r="K17" i="24" s="1"/>
  <c r="K9" i="24"/>
  <c r="J9" i="24"/>
  <c r="D9" i="1"/>
  <c r="D12" i="1"/>
  <c r="D11" i="1"/>
  <c r="C131" i="24" l="1"/>
  <c r="K125" i="24"/>
  <c r="I87" i="24"/>
  <c r="H141" i="24"/>
  <c r="I46" i="24"/>
  <c r="J42" i="24"/>
  <c r="G141" i="24"/>
  <c r="J20" i="24"/>
  <c r="E141" i="24"/>
  <c r="D141" i="24"/>
  <c r="H21" i="4"/>
  <c r="H22" i="4"/>
  <c r="F141" i="24"/>
  <c r="I24" i="24"/>
  <c r="J96" i="24"/>
  <c r="J98" i="24"/>
  <c r="K96" i="24"/>
  <c r="I69" i="24"/>
  <c r="J66" i="24"/>
  <c r="J97" i="24"/>
  <c r="J17" i="24"/>
  <c r="J82" i="24"/>
  <c r="J134" i="24"/>
  <c r="K134" i="24" s="1"/>
  <c r="C19" i="21" l="1"/>
  <c r="B10" i="21" s="1"/>
  <c r="K141" i="24" l="1"/>
  <c r="J141" i="24"/>
  <c r="I141" i="24" l="1"/>
  <c r="E27" i="6" l="1"/>
  <c r="D27" i="6"/>
  <c r="E26" i="6"/>
  <c r="D26" i="6"/>
  <c r="E25" i="6"/>
  <c r="D25" i="6"/>
  <c r="E24" i="6"/>
  <c r="D24" i="6"/>
  <c r="E22" i="6"/>
  <c r="D22" i="6"/>
  <c r="E20" i="6"/>
  <c r="D20" i="6"/>
  <c r="E19" i="6"/>
  <c r="D19" i="6"/>
  <c r="E18" i="6"/>
  <c r="D18" i="6"/>
  <c r="E17" i="6"/>
  <c r="D17" i="6"/>
  <c r="E16" i="6"/>
  <c r="D16" i="6"/>
  <c r="E13" i="6"/>
  <c r="D13" i="6"/>
  <c r="E12" i="6"/>
  <c r="D12" i="6"/>
  <c r="E11" i="6"/>
  <c r="D11" i="6"/>
  <c r="E10" i="6"/>
  <c r="D10" i="6"/>
  <c r="E9" i="6"/>
  <c r="D9" i="6"/>
  <c r="G15" i="4" l="1"/>
  <c r="H15" i="4" s="1"/>
  <c r="G14" i="4"/>
  <c r="H14" i="4" s="1"/>
  <c r="G13" i="4"/>
  <c r="H13" i="4" s="1"/>
  <c r="G12" i="4"/>
  <c r="H12" i="4" s="1"/>
  <c r="G11" i="4"/>
  <c r="H11" i="4" s="1"/>
  <c r="G10" i="4"/>
  <c r="H10" i="4" s="1"/>
  <c r="G9" i="4"/>
  <c r="C13" i="1"/>
  <c r="D13" i="1"/>
  <c r="D13" i="21"/>
  <c r="B14" i="21"/>
  <c r="H9" i="4" l="1"/>
  <c r="C145" i="19"/>
  <c r="C115" i="19"/>
  <c r="C119" i="19" s="1"/>
  <c r="G60" i="19"/>
  <c r="F60" i="19"/>
  <c r="E60" i="19"/>
  <c r="G58" i="19"/>
  <c r="G62" i="19" s="1"/>
  <c r="G68" i="19" s="1"/>
  <c r="F58" i="19"/>
  <c r="F62" i="19" s="1"/>
  <c r="F68" i="19" s="1"/>
  <c r="E58" i="19"/>
  <c r="E62" i="19" s="1"/>
  <c r="E68" i="19" s="1"/>
  <c r="D58" i="19"/>
  <c r="D62" i="19" s="1"/>
  <c r="D68" i="19" s="1"/>
  <c r="C53" i="19"/>
  <c r="G33" i="19"/>
  <c r="F33" i="19"/>
  <c r="G28" i="19"/>
  <c r="F28" i="19"/>
  <c r="F34" i="19" s="1"/>
  <c r="E28" i="19"/>
  <c r="E34" i="19" s="1"/>
  <c r="D28" i="19"/>
  <c r="D34" i="19" s="1"/>
  <c r="G34" i="19" l="1"/>
  <c r="G46" i="19" s="1"/>
  <c r="D38" i="19"/>
  <c r="D74" i="19" s="1"/>
  <c r="D51" i="19"/>
  <c r="D45" i="19"/>
  <c r="D124" i="19"/>
  <c r="D150" i="19" s="1"/>
  <c r="D77" i="19"/>
  <c r="D49" i="19"/>
  <c r="D47" i="19"/>
  <c r="E45" i="19"/>
  <c r="E38" i="19"/>
  <c r="E74" i="19" s="1"/>
  <c r="F51" i="19"/>
  <c r="F45" i="19"/>
  <c r="F124" i="19"/>
  <c r="F150" i="19" s="1"/>
  <c r="F77" i="19"/>
  <c r="F49" i="19"/>
  <c r="F38" i="19"/>
  <c r="F74" i="19" s="1"/>
  <c r="F47" i="19"/>
  <c r="E49" i="19"/>
  <c r="E77" i="19"/>
  <c r="F39" i="19"/>
  <c r="D41" i="19"/>
  <c r="F46" i="19"/>
  <c r="D48" i="19"/>
  <c r="F50" i="19"/>
  <c r="D52" i="19"/>
  <c r="D76" i="19"/>
  <c r="F78" i="19"/>
  <c r="E76" i="19"/>
  <c r="E47" i="19"/>
  <c r="E51" i="19"/>
  <c r="G77" i="19"/>
  <c r="E124" i="19"/>
  <c r="E41" i="19"/>
  <c r="E48" i="19"/>
  <c r="E52" i="19"/>
  <c r="D39" i="19"/>
  <c r="F41" i="19"/>
  <c r="D46" i="19"/>
  <c r="F48" i="19"/>
  <c r="D50" i="19"/>
  <c r="F52" i="19"/>
  <c r="F76" i="19"/>
  <c r="D78" i="19"/>
  <c r="E39" i="19"/>
  <c r="E87" i="19" s="1"/>
  <c r="E46" i="19"/>
  <c r="E50" i="19"/>
  <c r="E78" i="19"/>
  <c r="G48" i="19" l="1"/>
  <c r="G124" i="19"/>
  <c r="E53" i="19"/>
  <c r="E67" i="19" s="1"/>
  <c r="G39" i="19"/>
  <c r="G87" i="19" s="1"/>
  <c r="G49" i="19"/>
  <c r="G47" i="19"/>
  <c r="G76" i="19"/>
  <c r="G50" i="19"/>
  <c r="G41" i="19"/>
  <c r="D87" i="19"/>
  <c r="G45" i="19"/>
  <c r="G52" i="19"/>
  <c r="G78" i="19"/>
  <c r="G51" i="19"/>
  <c r="G38" i="19"/>
  <c r="D106" i="19"/>
  <c r="F106" i="19"/>
  <c r="E106" i="19"/>
  <c r="F53" i="19"/>
  <c r="F67" i="19" s="1"/>
  <c r="D73" i="19"/>
  <c r="D79" i="19" s="1"/>
  <c r="D126" i="19" s="1"/>
  <c r="D152" i="19" s="1"/>
  <c r="F73" i="19"/>
  <c r="D40" i="19"/>
  <c r="D66" i="19" s="1"/>
  <c r="E73" i="19"/>
  <c r="E79" i="19" s="1"/>
  <c r="E126" i="19" s="1"/>
  <c r="E152" i="19" s="1"/>
  <c r="E150" i="19"/>
  <c r="G40" i="19"/>
  <c r="G66" i="19" s="1"/>
  <c r="G74" i="19"/>
  <c r="F79" i="19"/>
  <c r="F126" i="19" s="1"/>
  <c r="F152" i="19" s="1"/>
  <c r="F87" i="19"/>
  <c r="F40" i="19"/>
  <c r="F66" i="19" s="1"/>
  <c r="E40" i="19"/>
  <c r="E66" i="19" s="1"/>
  <c r="D53" i="19"/>
  <c r="D67" i="19" s="1"/>
  <c r="G150" i="19"/>
  <c r="G53" i="19" l="1"/>
  <c r="G67" i="19" s="1"/>
  <c r="G69" i="19" s="1"/>
  <c r="G125" i="19" s="1"/>
  <c r="E69" i="19"/>
  <c r="E125" i="19" s="1"/>
  <c r="G73" i="19"/>
  <c r="G79" i="19" s="1"/>
  <c r="G126" i="19" s="1"/>
  <c r="G152" i="19" s="1"/>
  <c r="F69" i="19"/>
  <c r="F125" i="19" s="1"/>
  <c r="D69" i="19"/>
  <c r="D125" i="19" s="1"/>
  <c r="D151" i="19" l="1"/>
  <c r="F151" i="19"/>
  <c r="G151" i="19"/>
  <c r="E151" i="19"/>
  <c r="D84" i="19"/>
  <c r="E84" i="19"/>
  <c r="F84" i="19"/>
  <c r="G84" i="19"/>
  <c r="D85" i="19"/>
  <c r="E85" i="19"/>
  <c r="F85" i="19"/>
  <c r="G85" i="19"/>
  <c r="D86" i="19"/>
  <c r="E86" i="19"/>
  <c r="F86" i="19"/>
  <c r="G86" i="19"/>
  <c r="D89" i="19"/>
  <c r="E89" i="19"/>
  <c r="F89" i="19"/>
  <c r="G89" i="19"/>
  <c r="D98" i="19"/>
  <c r="E98" i="19"/>
  <c r="F98" i="19"/>
  <c r="G98" i="19"/>
  <c r="D100" i="19"/>
  <c r="E100" i="19"/>
  <c r="F100" i="19"/>
  <c r="G100" i="19"/>
  <c r="D104" i="19"/>
  <c r="E104" i="19"/>
  <c r="F104" i="19"/>
  <c r="G104" i="19"/>
  <c r="D105" i="19" a="1"/>
  <c r="D105" i="19"/>
  <c r="E105" i="19" a="1"/>
  <c r="E105" i="19"/>
  <c r="F105" i="19" a="1"/>
  <c r="F105" i="19"/>
  <c r="I105" i="19"/>
  <c r="J105" i="19"/>
  <c r="K105" i="19"/>
  <c r="I106" i="19"/>
  <c r="J106" i="19"/>
  <c r="K106" i="19"/>
  <c r="I107" i="19"/>
  <c r="J107" i="19"/>
  <c r="K107" i="19"/>
  <c r="D108" i="19"/>
  <c r="E108" i="19"/>
  <c r="F108" i="19"/>
  <c r="G108" i="19"/>
  <c r="D112" i="19"/>
  <c r="E112" i="19"/>
  <c r="F112" i="19"/>
  <c r="G112" i="19"/>
  <c r="D113" i="19"/>
  <c r="E113" i="19"/>
  <c r="F113" i="19"/>
  <c r="G113" i="19"/>
  <c r="D115" i="19"/>
  <c r="E115" i="19"/>
  <c r="F115" i="19"/>
  <c r="G115" i="19"/>
  <c r="D117" i="19"/>
  <c r="E117" i="19"/>
  <c r="F117" i="19"/>
  <c r="G117" i="19"/>
  <c r="D119" i="19"/>
  <c r="E119" i="19"/>
  <c r="F119" i="19"/>
  <c r="G119" i="19"/>
  <c r="D127" i="19"/>
  <c r="E127" i="19"/>
  <c r="F127" i="19"/>
  <c r="G127" i="19"/>
  <c r="D128" i="19"/>
  <c r="E128" i="19"/>
  <c r="F128" i="19"/>
  <c r="G128" i="19"/>
  <c r="D129" i="19"/>
  <c r="E129" i="19"/>
  <c r="F129" i="19"/>
  <c r="G129" i="19"/>
  <c r="D130" i="19"/>
  <c r="E130" i="19"/>
  <c r="F130" i="19"/>
  <c r="G130" i="19"/>
  <c r="D131" i="19"/>
  <c r="E131" i="19"/>
  <c r="F131" i="19"/>
  <c r="G131" i="19"/>
  <c r="E132" i="19"/>
  <c r="D133" i="19"/>
  <c r="E133" i="19"/>
  <c r="F133" i="19"/>
  <c r="G133" i="19"/>
  <c r="D138" i="19"/>
  <c r="E138" i="19"/>
  <c r="F138" i="19"/>
  <c r="G138" i="19"/>
  <c r="D139" i="19"/>
  <c r="E139" i="19"/>
  <c r="F139" i="19"/>
  <c r="G139" i="19"/>
  <c r="D141" i="19"/>
  <c r="E141" i="19"/>
  <c r="F141" i="19"/>
  <c r="G141" i="19"/>
  <c r="D143" i="19"/>
  <c r="E143" i="19"/>
  <c r="F143" i="19"/>
  <c r="G143" i="19"/>
  <c r="D145" i="19"/>
  <c r="E145" i="19"/>
  <c r="F145" i="19"/>
  <c r="G145" i="19"/>
  <c r="D153" i="19"/>
  <c r="E153" i="19"/>
  <c r="F153" i="19"/>
  <c r="G153" i="19"/>
  <c r="D154" i="19"/>
  <c r="E154" i="19"/>
  <c r="F154" i="19"/>
  <c r="G154" i="19"/>
  <c r="D155" i="19"/>
  <c r="E155" i="19"/>
  <c r="F155" i="19"/>
  <c r="G155" i="19"/>
  <c r="D156" i="19"/>
  <c r="E156" i="19"/>
  <c r="F156" i="19"/>
  <c r="G156" i="19"/>
  <c r="D157" i="19"/>
  <c r="E157" i="19"/>
  <c r="F157" i="19"/>
  <c r="G157" i="19"/>
  <c r="E158" i="19"/>
  <c r="D159" i="19"/>
  <c r="E159" i="19"/>
  <c r="F159" i="19"/>
  <c r="G159" i="19"/>
  <c r="E9" i="1"/>
  <c r="F9" i="1"/>
  <c r="G9" i="1"/>
  <c r="E10" i="1"/>
  <c r="F10" i="1"/>
  <c r="G10" i="1"/>
  <c r="E11" i="1"/>
  <c r="F11" i="1"/>
  <c r="G11" i="1"/>
  <c r="E12" i="1"/>
  <c r="F12" i="1"/>
  <c r="G12" i="1"/>
  <c r="F13" i="1"/>
  <c r="G13" i="1"/>
  <c r="E10" i="21"/>
  <c r="F10" i="21"/>
  <c r="E11" i="21"/>
  <c r="F11" i="21"/>
  <c r="E12" i="21"/>
  <c r="F12" i="21"/>
  <c r="E13" i="21"/>
  <c r="F13" i="21"/>
  <c r="F14" i="21"/>
  <c r="B19" i="21"/>
  <c r="D19" i="21"/>
  <c r="E19" i="21"/>
  <c r="D20" i="21"/>
  <c r="E20" i="2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Usuário do Windows</author>
  </authors>
  <commentList>
    <comment ref="D14" authorId="0" shapeId="0" xr:uid="{C1838701-EB93-4A66-92EB-B395E424CCFE}">
      <text>
        <r>
          <rPr>
            <b/>
            <sz val="9"/>
            <color indexed="81"/>
            <rFont val="Tahoma"/>
            <family val="2"/>
          </rPr>
          <t>Usuário do Windows:</t>
        </r>
        <r>
          <rPr>
            <sz val="9"/>
            <color indexed="81"/>
            <rFont val="Tahoma"/>
            <family val="2"/>
          </rPr>
          <t xml:space="preserve">
OBS: fora concluído acerca da necessidade de 3 máscaras PFF2 por semana, totalizando 36 para os primeiros seis meses de contrato.</t>
        </r>
      </text>
    </comment>
    <comment ref="E14" authorId="0" shapeId="0" xr:uid="{725D142D-7B32-4544-BBAE-0D8EB1F28318}">
      <text>
        <r>
          <rPr>
            <b/>
            <sz val="9"/>
            <color indexed="81"/>
            <rFont val="Tahoma"/>
            <family val="2"/>
          </rPr>
          <t>Usuário do Windows:</t>
        </r>
        <r>
          <rPr>
            <sz val="9"/>
            <color indexed="81"/>
            <rFont val="Tahoma"/>
            <family val="2"/>
          </rPr>
          <t xml:space="preserve">
OBS: fora concluído acerca da necessidade de 3 máscaras PFF2 por semana, totalizando 12 para os últimos seis meses de contrato.</t>
        </r>
      </text>
    </comment>
    <comment ref="D21" authorId="0" shapeId="0" xr:uid="{C271F067-F66C-439E-802C-E81027578F98}">
      <text>
        <r>
          <rPr>
            <b/>
            <sz val="9"/>
            <color indexed="81"/>
            <rFont val="Tahoma"/>
            <family val="2"/>
          </rPr>
          <t>Usuário do Windows:</t>
        </r>
        <r>
          <rPr>
            <sz val="9"/>
            <color indexed="81"/>
            <rFont val="Tahoma"/>
            <family val="2"/>
          </rPr>
          <t xml:space="preserve">
OBS: fora concluído acerca da necessidade de 3 máscaras PFF2 por semana, totalizando 36 para os primeiros seis meses de contrato.</t>
        </r>
      </text>
    </comment>
    <comment ref="E21" authorId="0" shapeId="0" xr:uid="{6228848F-818E-4C0F-A981-454DEC64430E}">
      <text>
        <r>
          <rPr>
            <b/>
            <sz val="9"/>
            <color indexed="81"/>
            <rFont val="Tahoma"/>
            <family val="2"/>
          </rPr>
          <t>Usuário do Windows:</t>
        </r>
        <r>
          <rPr>
            <sz val="9"/>
            <color indexed="81"/>
            <rFont val="Tahoma"/>
            <family val="2"/>
          </rPr>
          <t xml:space="preserve">
OBS: fora concluído acerca da necessidade de 3 máscaras PFF2 por semana, totalizando 12 para os últimos seis meses de contrato.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JoaoPaulo</author>
  </authors>
  <commentList>
    <comment ref="D7" authorId="0" shapeId="0" xr:uid="{6036BCC5-4C5E-42E4-A498-D6CEDF12C278}">
      <text>
        <r>
          <rPr>
            <b/>
            <sz val="9"/>
            <color indexed="81"/>
            <rFont val="Segoe UI"/>
            <family val="2"/>
          </rPr>
          <t>De acordo com a Produtividade estabelecida pelo Licitante.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7" authorId="0" shapeId="0" xr:uid="{06A95DD9-BB29-4113-BFE1-5055121357C3}">
      <text>
        <r>
          <rPr>
            <b/>
            <sz val="9"/>
            <color indexed="81"/>
            <rFont val="Segoe UI"/>
            <family val="2"/>
          </rPr>
          <t>Conforme Planilha de Formação de Custo Anexo IV-B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<sst xmlns="http://schemas.openxmlformats.org/spreadsheetml/2006/main" count="976" uniqueCount="563">
  <si>
    <t>PRÓ-REITORIA DE ADMINISTRAÇÃO</t>
  </si>
  <si>
    <t>COORDENAÇÃO DE CONTRATOS</t>
  </si>
  <si>
    <t>dos Equipamentos (preenchimento licitante)</t>
  </si>
  <si>
    <r>
      <rPr>
        <b/>
        <sz val="11"/>
        <color rgb="FFFF0000"/>
        <rFont val="Calibri"/>
        <charset val="134"/>
        <scheme val="minor"/>
      </rPr>
      <t>Anexo II - A - RELAÇÃO DOS POSTOS POR UNIDADES UFF</t>
    </r>
    <r>
      <rPr>
        <sz val="11"/>
        <color rgb="FFFF0000"/>
        <rFont val="Calibri"/>
        <charset val="134"/>
        <scheme val="minor"/>
      </rPr>
      <t xml:space="preserve">		</t>
    </r>
  </si>
  <si>
    <t>POSTOS</t>
  </si>
  <si>
    <t>Anexo II - B - RELAÇÃO DE EQUIPAMENTOS</t>
  </si>
  <si>
    <t>ITEM</t>
  </si>
  <si>
    <t>UNIDADE</t>
  </si>
  <si>
    <t>QUANT.</t>
  </si>
  <si>
    <t>VALOR</t>
  </si>
  <si>
    <t>UNITÁRIO</t>
  </si>
  <si>
    <t>unid.</t>
  </si>
  <si>
    <t>DISCRIMINAÇÃO UNIFORME</t>
  </si>
  <si>
    <t>par</t>
  </si>
  <si>
    <t>MÃO-DE-OBRA VINCULADA À EXECUÇÃO CONTRATUAL</t>
  </si>
  <si>
    <t>Dados para composição dos custos referentes a mão de obra</t>
  </si>
  <si>
    <t>MÓDULO 1 : COMPOSIÇÃO DA REMUNERAÇÃO</t>
  </si>
  <si>
    <t>Composição da Remuneração</t>
  </si>
  <si>
    <t>Valor(R$)</t>
  </si>
  <si>
    <t>A</t>
  </si>
  <si>
    <t>Salário Base</t>
  </si>
  <si>
    <t>B</t>
  </si>
  <si>
    <t>Adicional de Periculosidade</t>
  </si>
  <si>
    <t>C</t>
  </si>
  <si>
    <t>D</t>
  </si>
  <si>
    <t>Adicional Noturno</t>
  </si>
  <si>
    <t>E</t>
  </si>
  <si>
    <t>Adicional de Hora Noturna Reduzida</t>
  </si>
  <si>
    <t>F</t>
  </si>
  <si>
    <t xml:space="preserve">Outros </t>
  </si>
  <si>
    <t>Total de Remuneração</t>
  </si>
  <si>
    <t>MÓDULO 2: ENCARGOS E BENEFÍCIOS ANUAIS, MENSAIS E DIÁRIOS</t>
  </si>
  <si>
    <t>Submódulo 2.1 - 13º (décimo terceiro) Salário, Férias e Adicional de Férias</t>
  </si>
  <si>
    <t>2.1</t>
  </si>
  <si>
    <t>13º (décimo terceiro) Salário, Férias e Adicional de Férias</t>
  </si>
  <si>
    <t>Valor (R$)</t>
  </si>
  <si>
    <t>13º (décimo terceiro) Salário</t>
  </si>
  <si>
    <t>Férias e Adicional de Férias</t>
  </si>
  <si>
    <t>Total</t>
  </si>
  <si>
    <t>Incidência do Submódulo 2.2 - Encargos previdenciários (GPS), FGTS e outras contribuições                                                                                     (Cálculo sobre a remuneração, pois será adotada a Conta Vinculada)</t>
  </si>
  <si>
    <t>Submódulo 2.2 - Encargos Previdenciários (GPS), Fundo de Garantia por Tempo de Serviço (FGTS) e outras contribuições</t>
  </si>
  <si>
    <t>2.2</t>
  </si>
  <si>
    <t>GPS, FGTS e outras contribuições</t>
  </si>
  <si>
    <t>%</t>
  </si>
  <si>
    <t>INSS</t>
  </si>
  <si>
    <t>Salário Educação</t>
  </si>
  <si>
    <t>Seguro acidente do trabalho</t>
  </si>
  <si>
    <t>SESI ou SESC</t>
  </si>
  <si>
    <t>SENAI ou SENAC</t>
  </si>
  <si>
    <t>SEBRAE</t>
  </si>
  <si>
    <t>G</t>
  </si>
  <si>
    <t>INCRA</t>
  </si>
  <si>
    <t>H</t>
  </si>
  <si>
    <t>FGTS</t>
  </si>
  <si>
    <t>TOTAL</t>
  </si>
  <si>
    <t>Itens não aplicáveis a Optantes do SIMPLES</t>
  </si>
  <si>
    <t>Submódulo 2.3 - Benefícios Mensais e Diários</t>
  </si>
  <si>
    <t>2.3</t>
  </si>
  <si>
    <t>Benefícios Mensais e Diários</t>
  </si>
  <si>
    <t>Total de Benefícios Mensais e Diários</t>
  </si>
  <si>
    <t>Quadro-Resumo do Módulo 2 - Encargos e Benefícios anuais, mensais e diários</t>
  </si>
  <si>
    <t>Encargos e Benefícios Anuais, Mensais e Diários</t>
  </si>
  <si>
    <t>MÓDULO 3: PROVISÃO PARA RESCISÃO</t>
  </si>
  <si>
    <t>Provisão para Rescisão</t>
  </si>
  <si>
    <t>Aviso prévio indenizado</t>
  </si>
  <si>
    <t>Incidência do FGTS sobre o Aviso Prévio Indenizado</t>
  </si>
  <si>
    <t>Multa do FGTS e contribuição social sobre o aviso prévio indenizado</t>
  </si>
  <si>
    <t>Aviso prévio trabalhado</t>
  </si>
  <si>
    <t>Incidência de GPS, FGTS e outras contribuições sobre o aviso prévio trabalhado</t>
  </si>
  <si>
    <t>Multa do FGTS e contribuição social sobre o aviso prévio trabalhado</t>
  </si>
  <si>
    <t>MÓDULO 4: CUSTO DE REPOSIÇÃO DO PROFISSIONAL AUSENTE</t>
  </si>
  <si>
    <t>4.1</t>
  </si>
  <si>
    <t>Ausências legais</t>
  </si>
  <si>
    <t>Substituto na cobertura de férias</t>
  </si>
  <si>
    <t>Substituto na cobertura de Ausências legais</t>
  </si>
  <si>
    <t>Substituto na cobertura de Licença paternidade</t>
  </si>
  <si>
    <t>Substituto na cobertura de Ausência por Acidente de trabalho</t>
  </si>
  <si>
    <t>Substituto na cobertura de Afastamento Maternidade</t>
  </si>
  <si>
    <t>Substituto na cobertura de outras ausências (especificar)</t>
  </si>
  <si>
    <t>Submódulo 4.2 - Intrajornada</t>
  </si>
  <si>
    <t>4.2</t>
  </si>
  <si>
    <t>Intrajornada</t>
  </si>
  <si>
    <t>Intervalo para repouso ou alimentação</t>
  </si>
  <si>
    <t>Quadro-Resumo do Módulo 4 - Custo de Reposição do Profissional Ausente</t>
  </si>
  <si>
    <t>Custo de reposição</t>
  </si>
  <si>
    <t>MÓDULO 5: INSUMOS DIVERSOS</t>
  </si>
  <si>
    <t>Insumos Diversos</t>
  </si>
  <si>
    <t>Equipamentos</t>
  </si>
  <si>
    <t>Total de Insumos Diversos</t>
  </si>
  <si>
    <t>MÓDULO 6: CUSTOS INDIRETOS, TRIBUTOS E LUCRO – (LUCRO PRESUMIDO)</t>
  </si>
  <si>
    <t>Custos Indiretos, Tributos e Lucro</t>
  </si>
  <si>
    <t>Custos Indiretos</t>
  </si>
  <si>
    <t>Lucro</t>
  </si>
  <si>
    <t>Tributos</t>
  </si>
  <si>
    <t>C.1) Tributos Federais (PIS = 0,65% e COFINS = 3%)</t>
  </si>
  <si>
    <t>C.2) Tributos Estaduais (especificar)</t>
  </si>
  <si>
    <t>C.3) Tributos Municipais (ISS = 5,0%)</t>
  </si>
  <si>
    <t>C.4) Outros tributos (especificar)</t>
  </si>
  <si>
    <t>Mão-de-obra vinculada à execução contratual (valor por empregado)</t>
  </si>
  <si>
    <t>Módulo 1 - Composição da Remuneração</t>
  </si>
  <si>
    <t>Módulo 2 - Encargos e Benefícios Anuais, Mensais e Diários</t>
  </si>
  <si>
    <t>Módulo 3 - Provisão para rescisão</t>
  </si>
  <si>
    <t>Módulo 4 - Custo de Reposição do Profissional Ausente</t>
  </si>
  <si>
    <t>Módulo 5 - Insumos Diversos</t>
  </si>
  <si>
    <t>Subtotal (A + B +C+ D+E)</t>
  </si>
  <si>
    <t>Módulo 6 – Custos Indiretos, Tributos e Lucro</t>
  </si>
  <si>
    <t>Valor total por empregado</t>
  </si>
  <si>
    <t>FATOR K</t>
  </si>
  <si>
    <t>MÓDULO 6: CUSTOS INDIRETOS, TRIBUTOS E LUCRO – (LUCRO REAL)</t>
  </si>
  <si>
    <t>LOTE 1 - Custo total da contratação</t>
  </si>
  <si>
    <t>DISCRIMINAÇÃO DO POSTO</t>
  </si>
  <si>
    <t>FUNCIONÁRIOS</t>
  </si>
  <si>
    <t>VALOR MENSAL POR POSTO</t>
  </si>
  <si>
    <t>TOTAL MENSAL</t>
  </si>
  <si>
    <t>TOTAL ANUAL</t>
  </si>
  <si>
    <t>C.1) Tributos Federais (PIS = 1,65% e COFINS = 7,60%)</t>
  </si>
  <si>
    <t>Outros (Social Familiar) - Cláusula 29ª da CCT</t>
  </si>
  <si>
    <t>Benefício Assistencial</t>
  </si>
  <si>
    <t>Uniformes E EPIS</t>
  </si>
  <si>
    <t>Servente 44h</t>
  </si>
  <si>
    <t>Servente 44h Líder</t>
  </si>
  <si>
    <t>Encarregado</t>
  </si>
  <si>
    <t>Encarregado de Limpeza 44h</t>
  </si>
  <si>
    <t>Servente 12x36 Diurno</t>
  </si>
  <si>
    <t>Contratação de empresa para prestação de serviços continuados de apoio Limpeza, com regime de dedicação exclusiva de mão de obra, com fornecimento de materiais de reposição e atendimento na Universidade Federal Fluminense</t>
  </si>
  <si>
    <t>Anexo III  - FORMAÇÃO CUSTOS POSTOS DE  LIMPEZA</t>
  </si>
  <si>
    <t>Regime tributário da Licitante</t>
  </si>
  <si>
    <r>
      <t xml:space="preserve">Documento Comprobatório </t>
    </r>
    <r>
      <rPr>
        <b/>
        <i/>
        <sz val="11"/>
        <rFont val="Calibri"/>
        <family val="2"/>
        <scheme val="minor"/>
      </rPr>
      <t>*Anexar Comprovante</t>
    </r>
  </si>
  <si>
    <r>
      <rPr>
        <b/>
        <sz val="11"/>
        <color theme="1"/>
        <rFont val="Calibri"/>
        <family val="2"/>
        <scheme val="minor"/>
      </rPr>
      <t>ACT/CCT/DCT</t>
    </r>
    <r>
      <rPr>
        <sz val="11"/>
        <color theme="1"/>
        <rFont val="Calibri"/>
        <family val="2"/>
        <scheme val="minor"/>
      </rPr>
      <t xml:space="preserve"> </t>
    </r>
    <r>
      <rPr>
        <i/>
        <sz val="8"/>
        <color theme="1"/>
        <rFont val="Calibri"/>
        <family val="2"/>
        <scheme val="minor"/>
      </rPr>
      <t>inclusive aditivos se houver</t>
    </r>
  </si>
  <si>
    <t>Entidade Sindical da Empresa</t>
  </si>
  <si>
    <t>Entidade Sindical dos Empregados</t>
  </si>
  <si>
    <t>Número de Registro</t>
  </si>
  <si>
    <t>Início Vigência</t>
  </si>
  <si>
    <t>Fim Vigência</t>
  </si>
  <si>
    <t>Descrição Cargos</t>
  </si>
  <si>
    <t>Dias/Mês</t>
  </si>
  <si>
    <t>Posto</t>
  </si>
  <si>
    <t>CBO</t>
  </si>
  <si>
    <t>Salário</t>
  </si>
  <si>
    <t>5143-20</t>
  </si>
  <si>
    <t>Servente 12x36D</t>
  </si>
  <si>
    <t>Servente 44</t>
  </si>
  <si>
    <t>Servente 12x36</t>
  </si>
  <si>
    <t>Servente 44 Líder</t>
  </si>
  <si>
    <t>Encarregado 44h</t>
  </si>
  <si>
    <t>Adicional de Insalubridade (20% ou 40%)</t>
  </si>
  <si>
    <t>Gratificação Liderança (15% ou 30%)</t>
  </si>
  <si>
    <t>Transporte -Cláusula 24ª da CCT - considerando 4 passagens/dia</t>
  </si>
  <si>
    <t>Ticket Alimentação - Cláusula 23ª da CCT</t>
  </si>
  <si>
    <t>Submódulo 4.1. Ausências legais</t>
  </si>
  <si>
    <t>Quadro-resumo do Custo por Empregado (LUCRO PRESUMIDO)</t>
  </si>
  <si>
    <t>LUCRO PRESUMIDO</t>
  </si>
  <si>
    <t>Valor total por posto 12x36h</t>
  </si>
  <si>
    <t>Quadro-resumo do Custo por Empregado (LUCRO REAL)</t>
  </si>
  <si>
    <t>LUCRO REAL</t>
  </si>
  <si>
    <t>Endereço</t>
  </si>
  <si>
    <t>Rua Miguel de Frias, 9 - Icaraí - Niterói - RJ</t>
  </si>
  <si>
    <t>Perícia Médica</t>
  </si>
  <si>
    <t>Av. Miguel de Frias, 77 - Icaraí - Niterói</t>
  </si>
  <si>
    <t>Escola de Extensão, Protocolo e outros</t>
  </si>
  <si>
    <t>Av. Visconde do Rio Branco s/n.º, bairro Centro, Niterói - RJ</t>
  </si>
  <si>
    <t>Biblioteca Central e DCE</t>
  </si>
  <si>
    <t>Facu. Administração (antiga matematica)</t>
  </si>
  <si>
    <t>Dispensário “Mazine Bueno”</t>
  </si>
  <si>
    <t>Núcleo de Animais de Laboratório - NAL</t>
  </si>
  <si>
    <t>LANTE</t>
  </si>
  <si>
    <t>Faculdades de Nutrição e Administração</t>
  </si>
  <si>
    <t>Faculdade de Odontologia</t>
  </si>
  <si>
    <t>Pórtico de Entrada Valonguinho</t>
  </si>
  <si>
    <t xml:space="preserve">Instituto de Química </t>
  </si>
  <si>
    <t>Bloco B - DST</t>
  </si>
  <si>
    <t>Bloco C - Salas de Aula</t>
  </si>
  <si>
    <t>Bloco D - Anatômico</t>
  </si>
  <si>
    <t>Bloco E - Pesquisas</t>
  </si>
  <si>
    <t>Bloco A - Prédio Central</t>
  </si>
  <si>
    <t xml:space="preserve">Rua Professor Hernani Mello, 101 São Domingos Niterói – RJ </t>
  </si>
  <si>
    <t>Instituto de Biologia Bloco Principal</t>
  </si>
  <si>
    <t>Instituto de Biologia Bloco Anexo</t>
  </si>
  <si>
    <t>Prédio Salas de Aulas Biologia (Antigo Inst. Física)</t>
  </si>
  <si>
    <t>Biologia NOVO Bloco M</t>
  </si>
  <si>
    <t>R. Alexandre Moura, 8 - São Domingos, Niterói - RJ, 24210-200</t>
  </si>
  <si>
    <t>Bloco D - Faculdade de Educação</t>
  </si>
  <si>
    <t>Av. Visconde do Rio Branco s/n.º, bairro de São Domingos, Niterói - RJ</t>
  </si>
  <si>
    <t>Bloco E - Escola de Serviço Social</t>
  </si>
  <si>
    <t>Bloco F - Faculdade de Economia</t>
  </si>
  <si>
    <t>Bloco G - Instituto de Matemática e Estatística e Faculdade de Turismo</t>
  </si>
  <si>
    <t>Bloco H - Faculdade de Turismo e Hotelaria</t>
  </si>
  <si>
    <t>Superintendência de Documentação - SDC</t>
  </si>
  <si>
    <t>Faculdade de Educação Física - FACDEF</t>
  </si>
  <si>
    <t>Bloco N - Instituto de Ciências Humanas e Filosofia - ICHF</t>
  </si>
  <si>
    <t>Bloco O - Instituto de Ciências Humanas e Filosofia - ICHF</t>
  </si>
  <si>
    <t>Bloco P  - Instituto de Ciências Humanas e Filosofia - ICHF</t>
  </si>
  <si>
    <t>Bloco B - Instituto de Letras</t>
  </si>
  <si>
    <t>Bloco C - Instituto de Letras</t>
  </si>
  <si>
    <t>Escola de Arquitetura (e anexos)</t>
  </si>
  <si>
    <t>Rua Passo da Pátria, n.º 156, bairro São Domingos, Niterói - RJ</t>
  </si>
  <si>
    <t>Biblioteca do Campus</t>
  </si>
  <si>
    <t>Horto Viveiro</t>
  </si>
  <si>
    <t>Bloco D  - Escola de Engenharia - Niterói</t>
  </si>
  <si>
    <t>Bloco  E - Escola de Engenharia Niterói</t>
  </si>
  <si>
    <t>Instituto de Computação - Laboratórios</t>
  </si>
  <si>
    <t>Instituto de Computação - Salas de Aula UFAS</t>
  </si>
  <si>
    <t>ADDLABS</t>
  </si>
  <si>
    <t>Restaurante Universitário - Gragoatá</t>
  </si>
  <si>
    <t>Restaurante Universitário - Praia Vermelha</t>
  </si>
  <si>
    <t>Restaurante Universitário - HUAP</t>
  </si>
  <si>
    <t>Rua Marquês de Paraná 303 - Centro, Niterói - RJ</t>
  </si>
  <si>
    <t>Restaurante Universitário - Reitoria</t>
  </si>
  <si>
    <t>Moradia Estudantil - Niterói</t>
  </si>
  <si>
    <t>Moradia Estudantil - Rio das Ostras</t>
  </si>
  <si>
    <t>Rua Recife. Quadra 07, Jardim Bela Vista, Rio das Ostras - RJ</t>
  </si>
  <si>
    <t>Instituto de Artes e Comunicação Social - IACS</t>
  </si>
  <si>
    <t>Rua Lara Vilela, 126 - São Domingos, Niterói - RJ</t>
  </si>
  <si>
    <t>Arquivo SDC - Jurujuba</t>
  </si>
  <si>
    <t>Av. Bento Maria da Costa, 115 A - Jurujuba, Niterói - RJ</t>
  </si>
  <si>
    <t>CRIAA - Barreto</t>
  </si>
  <si>
    <t>Rua General Castrioto, 588, Barreto, Niterói - RJ</t>
  </si>
  <si>
    <t>CAJUFF e NEPHU</t>
  </si>
  <si>
    <t>Almirante Teffé, 637, Centro, Niterói - RJ</t>
  </si>
  <si>
    <t>Escola de Enfermagem</t>
  </si>
  <si>
    <t>Rua Dr. Celestino,78- Centro, Niterói - RJ</t>
  </si>
  <si>
    <t xml:space="preserve">Faculdade de Medicina </t>
  </si>
  <si>
    <t>Instituto de Saúde da Comunidade</t>
  </si>
  <si>
    <t>Rua Marquês de Paraná, 303 - Centro, Niterói - RJ</t>
  </si>
  <si>
    <t>Mequinho</t>
  </si>
  <si>
    <t>Av.  Jansem de Mello, 174/Fundos – Centro, Niterói - RJ</t>
  </si>
  <si>
    <t>Faculdade de Direito</t>
  </si>
  <si>
    <t>Rua Presidente Pedreira,62 - Ingá, Niterói - RJ</t>
  </si>
  <si>
    <t>Faculdade de Direito II</t>
  </si>
  <si>
    <t>Rua Tiradentes, 17 - Ingá, Niterói - RJ</t>
  </si>
  <si>
    <t>Faculdade de Farmácia</t>
  </si>
  <si>
    <t>Rua Mário Viana. 523 - Santa Rosa, Niterói - RJ</t>
  </si>
  <si>
    <t>Farmácia Universitária</t>
  </si>
  <si>
    <t>Rua Marquês do Paraná, 282 – Centro, Niterói - RJ</t>
  </si>
  <si>
    <t>Colégio Universitário Geraldo Reis - COLUNI</t>
  </si>
  <si>
    <t>Rua Alexandre Moura, 8 - São Domingos, Niterói - RJ</t>
  </si>
  <si>
    <t>Creche UFF</t>
  </si>
  <si>
    <t>Bloco A - UFASA PROGRAD Gragoatá</t>
  </si>
  <si>
    <t>Bloco H - UFFASA PROGRAD - Praia Vermelha</t>
  </si>
  <si>
    <t>Escola de Engenharia de Petrópolis</t>
  </si>
  <si>
    <t>Rua Domingos Silvério, sn. Quitandinha - Petrópolis</t>
  </si>
  <si>
    <t>Instituto de Saúde de Nova Friburgo (incluindo unidade de Fonoaudiologia)</t>
  </si>
  <si>
    <t>Rua Dr. Silvio Henrique Braune, 22, Centro, Nova Friburgo - RJ</t>
  </si>
  <si>
    <t>Instituto do Noroeste Fluminense e Educação Superior</t>
  </si>
  <si>
    <t>Rua Chaim Elias, s/n.º, Centro, Santo Antônio de Pádua - RJ</t>
  </si>
  <si>
    <t>Instituto de Ciência e Tecnologia - ICT</t>
  </si>
  <si>
    <t>Instituto de Humanidades e Saúde - IHS</t>
  </si>
  <si>
    <t>Serviço de Psicologia Aplicada (SPA) Rio das Ostras</t>
  </si>
  <si>
    <t>Pólo Univ. de Macaé (incluindo prédio novo)</t>
  </si>
  <si>
    <t>Av. Aluízio da Silva Gomes, 50 - Granja dos Cavaleiros - Macaé</t>
  </si>
  <si>
    <t>Pólo Campos Goytacazes (incluindo SPA)</t>
  </si>
  <si>
    <t>Rua José do Patrocínio, 71 - Campos dos Goytacazes - RJ</t>
  </si>
  <si>
    <t>Faculdade de Veterinária</t>
  </si>
  <si>
    <t>Rua Vital Brazil Filho, 64 - Vital Brazil, Niteroi - RJ</t>
  </si>
  <si>
    <t>Hospital Veterinário - HUVET</t>
  </si>
  <si>
    <t>Núcleo Experimental de Iguaba</t>
  </si>
  <si>
    <t>Rod. Amaral Peixoto, Km 100 - Iguaba Grande - RJ</t>
  </si>
  <si>
    <t>Fazenda Escola da Faculdade de Veterinária</t>
  </si>
  <si>
    <t>Rod. RJ 122, Km 32 - Funchal - Cachoeira de Macacu - RJ</t>
  </si>
  <si>
    <t>Escola de Engenharia Industrial e Metalúrgica de Volta Redonda</t>
  </si>
  <si>
    <t>Av. dos Trabalhadores, 420 - Volta Redonda - RJ</t>
  </si>
  <si>
    <t>Instituto de Ciências Humanas  e Sociais de VR</t>
  </si>
  <si>
    <t>Rua Desembargador Ellys Hermidyo Figueira 783 - Aterrado - Volta Redonda</t>
  </si>
  <si>
    <t>Instituto de Ciências Exatas de VR</t>
  </si>
  <si>
    <t>Instituto de Educação de Angra dos Reis</t>
  </si>
  <si>
    <t>Av. do Trabalhador, 179 - Jacuecanga - Angra dos Reis</t>
  </si>
  <si>
    <t>Angra dos Reis II</t>
  </si>
  <si>
    <t>Av. Vereador Benedito Adelino - Retiro, Angra dos Reis - RJ</t>
  </si>
  <si>
    <t>Instituto de Física - Bloco N</t>
  </si>
  <si>
    <t>Reitoria Prédio Principal: 8 andares</t>
  </si>
  <si>
    <t>ÁREA TOTAL [a]</t>
  </si>
  <si>
    <t>MÃO DE OBRA ESTIMADA</t>
  </si>
  <si>
    <t>QTDADE ESTIMADA POSTOS [b]</t>
  </si>
  <si>
    <t>PREÇO HOMEM-MÊS</t>
  </si>
  <si>
    <t>SUBTOTAL</t>
  </si>
  <si>
    <t>(R$)</t>
  </si>
  <si>
    <r>
      <t>(R$/M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>)</t>
    </r>
  </si>
  <si>
    <t>[c]</t>
  </si>
  <si>
    <t>[d] = [b] x [c]/[a]</t>
  </si>
  <si>
    <t>ÁREA INTERNA</t>
  </si>
  <si>
    <t>Servente Líder</t>
  </si>
  <si>
    <t>Servente 44H</t>
  </si>
  <si>
    <t>Servente 12X36H</t>
  </si>
  <si>
    <t>RESUMO</t>
  </si>
  <si>
    <r>
      <t>Custo M</t>
    </r>
    <r>
      <rPr>
        <b/>
        <vertAlign val="superscript"/>
        <sz val="12"/>
        <color indexed="8"/>
        <rFont val="Calibri"/>
        <family val="2"/>
      </rPr>
      <t>2</t>
    </r>
  </si>
  <si>
    <r>
      <t>Quantidade M</t>
    </r>
    <r>
      <rPr>
        <b/>
        <vertAlign val="superscript"/>
        <sz val="12"/>
        <color indexed="8"/>
        <rFont val="Calibri"/>
        <family val="2"/>
      </rPr>
      <t>2</t>
    </r>
    <r>
      <rPr>
        <b/>
        <sz val="12"/>
        <color indexed="8"/>
        <rFont val="Calibri"/>
        <family val="2"/>
      </rPr>
      <t xml:space="preserve"> - RJ </t>
    </r>
  </si>
  <si>
    <t>Custo Mensal</t>
  </si>
  <si>
    <t>Custo Anual</t>
  </si>
  <si>
    <r>
      <t>(R$/M</t>
    </r>
    <r>
      <rPr>
        <b/>
        <vertAlign val="superscript"/>
        <sz val="12"/>
        <color indexed="8"/>
        <rFont val="Calibri"/>
        <family val="2"/>
      </rPr>
      <t>2</t>
    </r>
    <r>
      <rPr>
        <b/>
        <sz val="12"/>
        <color indexed="8"/>
        <rFont val="Calibri"/>
        <family val="2"/>
      </rPr>
      <t>)</t>
    </r>
  </si>
  <si>
    <r>
      <t>(M</t>
    </r>
    <r>
      <rPr>
        <b/>
        <vertAlign val="superscript"/>
        <sz val="12"/>
        <color indexed="8"/>
        <rFont val="Calibri"/>
        <family val="2"/>
      </rPr>
      <t>2</t>
    </r>
    <r>
      <rPr>
        <b/>
        <sz val="12"/>
        <color indexed="8"/>
        <rFont val="Calibri"/>
        <family val="2"/>
      </rPr>
      <t>)</t>
    </r>
  </si>
  <si>
    <r>
      <t>(R$</t>
    </r>
    <r>
      <rPr>
        <b/>
        <sz val="12"/>
        <color indexed="8"/>
        <rFont val="Calibri"/>
        <family val="2"/>
      </rPr>
      <t>)</t>
    </r>
  </si>
  <si>
    <t>[a]</t>
  </si>
  <si>
    <t>[b]</t>
  </si>
  <si>
    <t>[c] = [a] x [b]</t>
  </si>
  <si>
    <t>[d] = [c] x 12</t>
  </si>
  <si>
    <r>
      <t>Anexo IV-B - PLANILHA DE COMPOSIÇÃO DE CUSTOS E FORMAÇÃO DE PREÇOS</t>
    </r>
    <r>
      <rPr>
        <sz val="9"/>
        <color rgb="FFFF0000"/>
        <rFont val="Verdana"/>
        <charset val="134"/>
      </rPr>
      <t xml:space="preserve"> (Anexo VII da I.N. da SLTI/MPOG n.º 5 de 26/Maio/2017			</t>
    </r>
  </si>
  <si>
    <t>EQUIPAMENTO</t>
  </si>
  <si>
    <t>QUANT</t>
  </si>
  <si>
    <t>PRAZO DE VIDA ÚTIL EM ANOS (IN RFB Nº 1700-17 ANEXO III)</t>
  </si>
  <si>
    <t>TAXA ANUAL DE DEPRECIAÇÃO</t>
  </si>
  <si>
    <t>TOTAL SEM DEPREC.</t>
  </si>
  <si>
    <t>TOTAL COM DEPRECIAÇÃO</t>
  </si>
  <si>
    <t>Enceradeira industrial (Ø 41 cm - 1 hp)</t>
  </si>
  <si>
    <t>Lavadora alta pressão, pressão: 1800 psi, vazão: 300 l,h, tensão: 110,220 v, características adicionais: rodas, gatilho auto-desligável, misturador, pisto-, tipo: lava-jato, modelo: monofásico</t>
  </si>
  <si>
    <t>Aspirador de pó e água industrial 40 litros 110 V</t>
  </si>
  <si>
    <t>Carrinho limpeza multifunção - Carro para material de limpeza - material de confecção/saco de vinil / kit c/ mops líquido e pó, placa sinaliz. e pá / balde espremedor: polipropileno</t>
  </si>
  <si>
    <t>Lixeira, material: polietileno alta densidade, capacidade: 240 l, tipo: container, características adicionais: com 2 rodízios, tampa com dobradiça, revestimento: tratamento em uv</t>
  </si>
  <si>
    <t>Lixeira, material: polietileno alta densidade, capacidade: 50 l, tipo: com tampa, altura: 75 cm, cor: laranja, características adicionais: com abertura frontal e poste para fixação em aço, largura: 43 cm, profundidade: 34 cm, aplicação: coleta de lixo, comprimento: 1,50 m</t>
  </si>
  <si>
    <t>Relógio de Ponto Biométrico</t>
  </si>
  <si>
    <t>TOTAL DE CUSTO DE EQUIPAMENTOS</t>
  </si>
  <si>
    <t xml:space="preserve">Depreciação dos Equipamentos </t>
  </si>
  <si>
    <t>Valor mensal POR POSTO</t>
  </si>
  <si>
    <t>Observações</t>
  </si>
  <si>
    <t>(1) Foram considerados a aquisição de equipamentos novos.</t>
  </si>
  <si>
    <t>(2) A taxa de depreciação utilizada de acordo com tabela da I.N. da SRF n.º 1700/2017.</t>
  </si>
  <si>
    <t>(3) Os relógios de Ponto deverão ser instalados conforme a seguir:</t>
  </si>
  <si>
    <t>RELÓGIO DE PONTO</t>
  </si>
  <si>
    <t>Unidades</t>
  </si>
  <si>
    <t>Quantidades</t>
  </si>
  <si>
    <t>Angra dos Reis - Jacuecanga</t>
  </si>
  <si>
    <t>Angra dos Reis - Retiro</t>
  </si>
  <si>
    <t>Cachoeira de Macacu</t>
  </si>
  <si>
    <t>Campos de Goytacazes - Centro</t>
  </si>
  <si>
    <t>Campos de Goytacazes - XV de Novembro</t>
  </si>
  <si>
    <t>Campus da Praia Vermelha</t>
  </si>
  <si>
    <t>Campus do Gragoatá</t>
  </si>
  <si>
    <t>Campus do Valonguinho</t>
  </si>
  <si>
    <t>Coluni</t>
  </si>
  <si>
    <t>Faculdade de Direito I</t>
  </si>
  <si>
    <t>Faculdade de Enfermagem</t>
  </si>
  <si>
    <t>Faculdade de Medicina</t>
  </si>
  <si>
    <t>Instituto de Medicina (prédio novo)</t>
  </si>
  <si>
    <t xml:space="preserve">IACS </t>
  </si>
  <si>
    <t>Iguaba Grande</t>
  </si>
  <si>
    <t>Macaé</t>
  </si>
  <si>
    <t>Nova Friburgo</t>
  </si>
  <si>
    <t>Petrópolis</t>
  </si>
  <si>
    <t>Reitoria</t>
  </si>
  <si>
    <t>Rio das Ostras - ICT/IHS</t>
  </si>
  <si>
    <t>Rio das Ostras - Novo Prédio</t>
  </si>
  <si>
    <t>Santo Antônio de Pádua</t>
  </si>
  <si>
    <t>Volta Redonda - Aterrado</t>
  </si>
  <si>
    <t>Volta Redonda - Vila</t>
  </si>
  <si>
    <t>TOTAIS</t>
  </si>
  <si>
    <t>Unidade</t>
  </si>
  <si>
    <t>Quant. Inicial (Admissão)</t>
  </si>
  <si>
    <t>Por semestre</t>
  </si>
  <si>
    <t>Por ano</t>
  </si>
  <si>
    <t>CUSTO CADERNO LOGÍSTICA</t>
  </si>
  <si>
    <t>Servente de Limpeza de Área Comum e Líder de Turma</t>
  </si>
  <si>
    <t>1.1</t>
  </si>
  <si>
    <t xml:space="preserve">Calça comprida com elástico e cordão, de tecido em brim profissional e resistente, para proteção das pernas contra umidade proveniente de operações com uso de água. </t>
  </si>
  <si>
    <t>1.2</t>
  </si>
  <si>
    <t xml:space="preserve">Camisa de mangas curtas, de mesma cor da calça, de tecido/polo de 1ª qualidade 100% algodão, com o devido emblema/logotipo da empresa que seja visível; </t>
  </si>
  <si>
    <t>1.3</t>
  </si>
  <si>
    <t>Meia em algodão, tipo soquete.</t>
  </si>
  <si>
    <t>1.4</t>
  </si>
  <si>
    <t>Botina cano curto, de borracha, preta, com elástico, palmilha Antimicróbiana, com biqueira de PVC, com solado PU (Poliuretano) monodensidade, resistente à abrasão, com ergonomia confortável (par), para proteção contra impactos de quedas de objetos sobre os artelhos e umidade. Obrigatório conter Certificado de Aprovação (CA).</t>
  </si>
  <si>
    <t>1.5</t>
  </si>
  <si>
    <t>Luva de segurança, em composto de látex natural, com forro de algodão, Palma antiderrapante com alta resistência, para limpeza de banheiros, com resistência química e mecânica, tamanho 30 cm. Obrigatório possuir Certificado de Aprovação (C.A).</t>
  </si>
  <si>
    <t>1.6</t>
  </si>
  <si>
    <t>Máscara facial (respirador), descartável, tipo semi facial concha, dobrável, PFF2, feito em malha filtrante, com dois elásticos de ajuste para a cabeça. Possui clipe metálico na ponte nasal, com valvula de exalação.Tamanho único, para proteção das vias respiratórias contra agentes químicos. Possuir Certificado de Aprovação (C.A).</t>
  </si>
  <si>
    <t xml:space="preserve">2.1. </t>
  </si>
  <si>
    <t xml:space="preserve">Calça comprida com elástico e cordão, de tecido em brim profissional e resistente,  para proteção das pernas contra umidade proveniente de operações com uso de água. </t>
  </si>
  <si>
    <t>Meia em algodão, tipo cano curto,  tamanho único. Indicada para uso em cozinhas industriais, frigoríficos e laboratórios.</t>
  </si>
  <si>
    <t>2.4</t>
  </si>
  <si>
    <t>Bota de segurança com cano curto, de borracha, preta, com elástico, palmilha Antimicróbiana, com biqueira de PVC, com solado PU (Poliuretano) monodensidade, resistente à abrasão e produtos químicos, com ergonomia confortável (par), para proteção contra impactos de quedas de objetos sobre os artelhos e produtos químicos. Obrigatório conter Certificado de Aprovação (C.A).</t>
  </si>
  <si>
    <t>2.5</t>
  </si>
  <si>
    <t>Luva de borracha nitrílica, com forro flocado de algodão, clorinada, punho reto com 33 cm de comprimento. Possuir resistência à abrasão, Anti-Alérgica, Palma Anti derrapante, para proteção das mãos contra riscos de produtos químicos agressivos, detergentes, sabões, amoníacos e similares. Possuir Certificado de Aprovação (C.A).</t>
  </si>
  <si>
    <t>2.6</t>
  </si>
  <si>
    <t>2.7</t>
  </si>
  <si>
    <t>Óculos de proteção ampla visão, incolor, com lente única, proteção lateral em uma só peça, tamanho único.Para proteção dos olhos contra impactos de partículas volantes. Possuir Certificado de Aprovação (C.A).</t>
  </si>
  <si>
    <t>Calça comprida, de tecido em brim profissional e resistente.</t>
  </si>
  <si>
    <t>Camisa  com gola em V e manga japonesa com emblema da empresa fixado no bolso</t>
  </si>
  <si>
    <t>4.3</t>
  </si>
  <si>
    <t>Meia em algodão, tipo soquete, cor preta</t>
  </si>
  <si>
    <t>4.4</t>
  </si>
  <si>
    <t>Tênis preto escuro, tipo solado baixo e antiderrapante, com palmilha antibacteriana</t>
  </si>
  <si>
    <t>4.5</t>
  </si>
  <si>
    <t>Obs: Quantidade estimada por ano, sendo 3 (três) conjuntos na admissão e mais 1 (um) conjunto a cada 6 (seis) meses, totalizando 4 conjuntos por ano,  conforme Cláusula 53ª da CCT 2021/2022.</t>
  </si>
  <si>
    <t>O Caderno de Logísticas do Ministério do Planejamento Orçamento e Gestão, define a porcentagem de custos de Uniformes, com base no posto a ser contratado, mantendo o percentual de 1,45% de Servente, 1,27% Servente de Fachada, 1,23% para os Encarregados, e 1,15% para os Encarregados de Fachada utilizando  Base de Cálculo Módulos 1, 2, 3 e 4 da Planilha de Composição de Custos.</t>
  </si>
  <si>
    <t>O Caderno de Logística pode ser acessado pelo link &lt;https://www.comprasgovernamentais.gov.br/images/conteudo/ArquivosCGNOR/Cadernostecnicos/Cadernos2019/CT_LIM_RJ_2019.pdf&gt;</t>
  </si>
  <si>
    <t>ESTIMATIVA DE CUSTO DE MATERIAIS DE LIMPEZA</t>
  </si>
  <si>
    <t>MATERIAL DE CONSUMO (Fornecimento Mensal)</t>
  </si>
  <si>
    <t>ALCOOL ETILICO HIDRATADO 70 % FRASCO CONTENDO 1000ML - Álcool etílico 70%, frasco de 1000 ml, desinfetante a base de álcool a 70% p/v. indicado para limpeza, embalagem contendo dados de identificação, procedência, numero de lote, data de fabricação, validade e Registro no Ministério da Saúde.</t>
  </si>
  <si>
    <t>litro</t>
  </si>
  <si>
    <t>ÁLCOOL ETÍLICO Gel antisséptico Tipo hidratado, concentração 70º GL, aplicação limpeza a seco e desinfecção das mãos e braços. Com registro no órgão competente.</t>
  </si>
  <si>
    <t>Cera, tipo: líquida, cor: incolor leitoso, composição: parafina,cera de polimento,óleo vegetal hidrogena-, características adicionais: antiderrapante, frasco c, alça, tampa dosadora, va, aplicação: limpeza de pisos</t>
  </si>
  <si>
    <t>Galão 5 litros</t>
  </si>
  <si>
    <t>Creolina - latas de 1 litro</t>
  </si>
  <si>
    <t>lata</t>
  </si>
  <si>
    <t>Desengraxante liquido para limpeza pesada - litro</t>
  </si>
  <si>
    <t>Desinfetante saneante líquido, com ação germicida e bactericida para lavagem de superfícies - litro</t>
  </si>
  <si>
    <t>Detergente líquido MULTIUSO - litros</t>
  </si>
  <si>
    <t>Detergente líquido neutro, com ação germicida e bactericida para lavagem de superfície - litro</t>
  </si>
  <si>
    <t>Fibras de limpeza - branca - unidade</t>
  </si>
  <si>
    <t>Fibras de limpeza - verde - unidade</t>
  </si>
  <si>
    <t>Pano limpeza, material: 100% algodão, largura: 60 cm, características adicionais: tipo flanela, bordas lisa, aplicação: limpeza geral</t>
  </si>
  <si>
    <t>Hipoclorito de Sódio a 1%, com Registro do Ministério da Saúde e Laudo de Controle de Qualidade do teor de cloro do Lote -  litro</t>
  </si>
  <si>
    <t>Água sanitária, composição química: hipoclorito de sódio, hidróxido de sódio, cloreto, teor cloro ativo: varia de 2 a 2,50%, cor: incolor, aplicação: lavagem e alvejante de roupas, banheiras, pias,</t>
  </si>
  <si>
    <t>Esponja Limpeza Material: Lâ Aço Inoxidável , Aplicação: Utensílios E Limpeza Em Geral , Formato: Circular (pacote com 8 unidades)</t>
  </si>
  <si>
    <t>pacote</t>
  </si>
  <si>
    <t>LUSTRA MOVEIS, EMBALAGEM COM IDENTIFICACAO DO PRODUTO, MARCA DO FABRICANTE, BASE DE SILICONE, SECAGEM RAPIDA, PERFUME SUAVE, FRASCO 200.0 MILILITROS</t>
  </si>
  <si>
    <t>frasco</t>
  </si>
  <si>
    <t>Neutralizador de odores em aerosol (embalagem descartável) unidade de 500 ml</t>
  </si>
  <si>
    <t>Pano de chão cru de tam. grande  p/ limpeza geral</t>
  </si>
  <si>
    <t>Papel higiênico, 1ª qualidade (branco) folha dupla, picotado de 10m x 300m - rolão - pacote com 4 rolos</t>
  </si>
  <si>
    <t>Papel Higiênico Material: Celulose Virgem Ou Aparas Excelente Qualidade , Comprimento: 30 M, Cor: Branca , Tipo: Folha Simples , Largura: 10 CM, Características Adicionais: Macio, Absorvente E Homogêneo</t>
  </si>
  <si>
    <t>pacote 8 und.</t>
  </si>
  <si>
    <t>Toalha de papel multi folhas (branco), 100% Celulose virgem, 1ª qualidade, duas dobras, medindo aproximadamente 22cm x 200 m, (fardo com 6 pcts)</t>
  </si>
  <si>
    <t>fardo</t>
  </si>
  <si>
    <t>Protetor assento sanitário, material: fibras naturais, tipo uso: descartável, cor: branca, características adicionais: papel impermeável,biodegradável, dimensões: 45 cm x 38 cm. Caixa com 40 unidades</t>
  </si>
  <si>
    <t>caixa</t>
  </si>
  <si>
    <t>Pasta de limpeza multiuso ( LIMPTEK) (Cores diversas)</t>
  </si>
  <si>
    <t>kg</t>
  </si>
  <si>
    <t>Pasta saponácea (kg)</t>
  </si>
  <si>
    <t>Removedor de cera para pisos - litro</t>
  </si>
  <si>
    <t>Sabão barra, composição básica: Óleo de Coco, Hidróxido de Sódio, Cloreto de Sódio, Água, Coadjuvante, Antioxidante e Glicerina. Características adicionais: sem perfume. Embalagem de 1Kg (5 unidades de 200gr).</t>
  </si>
  <si>
    <t>Sabonete Líquido Aspecto Físico: Líquido Viscoso , Acidez: Ph 6 A 8 , Aplicação: Assepsia Das Mãos , Características Adicionais: Agente Bactericida , Composição: Tensoativos Aniônicos E Não Aniônicos, Solvente</t>
  </si>
  <si>
    <t>refil</t>
  </si>
  <si>
    <t>SACO PARA LIXO COM CAPACIDADE DE 40 (QUARENTA) LITROS, ESPESSURA DE 6 (SEIS) MICRAS, PODENDO SER NAS CORES PRETA, AZUL, CINZA OU MARROM, COM MEDIDA MÍNIMA DE 60 CM X 60 CM; PCT COM 100 UNIDADES;</t>
  </si>
  <si>
    <t>pct</t>
  </si>
  <si>
    <t>Sacos de lixo com capacidade de 50 litros, resistente, para coleta de resíduo comum</t>
  </si>
  <si>
    <t>SACO PARA LIXO COM CAPACIDADE DE 60 (SESSENTA) LITROS, ESPESSURA DE 6 (SEIS) MICRAS, PODENDO SER NAS CORES PRETA, AZUL, CINZA OU MARROM, COM MEDIDA MÍNIMA DE 60 CM X 70 CM; PCT COM 100 UNIDADES;</t>
  </si>
  <si>
    <t>Saco Plástico Lixo Material: Polietileno , Altura: 75 CM, Capacidade: 100 L, Cor: Preta , Espessura: 0,10 Micra , Largura: 105 CM, Normas Técnicas: Nbr 9190 E 9191 PCT COM 100 UNIDADES;</t>
  </si>
  <si>
    <t>Saco Plástico Lixo Capacidade: 200 L, Cor: Preta , Largura: 90 CM, Altura: 110 CM, Características Adicionais: Reforçado , Espessura: 12 Micra MICRA, Aplicação: Coleta De Lixo , Material: Polietileno, Pacote com 100 unidades</t>
  </si>
  <si>
    <t>Sacos de lixo de 400 litros, resistente, para coleta de resíduo comum</t>
  </si>
  <si>
    <t>Saneante para remoção de limo de vasos sanitários – litro</t>
  </si>
  <si>
    <t>Vaselina líquida - litro</t>
  </si>
  <si>
    <t>MATERIAIS DE USO (Fornecimento na vigência do contrato, sempre que se fizer necessário)</t>
  </si>
  <si>
    <t>Balde azul de 20 litros com bico</t>
  </si>
  <si>
    <t>Balde vermelho de 20 litros com bico</t>
  </si>
  <si>
    <t>Desentupidor de pia.</t>
  </si>
  <si>
    <t>Desentupidor de vaso sanitário tipo bomba manual</t>
  </si>
  <si>
    <t>Disco polidor branco 300 mm</t>
  </si>
  <si>
    <t>Disco polidor branco 350 mm</t>
  </si>
  <si>
    <t>Disco removedor preto 300 mm</t>
  </si>
  <si>
    <t>Disco removedor preto 350 mm</t>
  </si>
  <si>
    <t>Disco removedor preto 410 mm</t>
  </si>
  <si>
    <t>Dispensador de papel higiênico tipo rolão</t>
  </si>
  <si>
    <t>Dispensador de papel higiênico tipo rolo pequeno</t>
  </si>
  <si>
    <t>Dispensador de papel toalha interfolhada</t>
  </si>
  <si>
    <t>Dispenser Higienizador Material: Plástico Abs , Aplicação: Mãos , Capacidade: 800 ML, Cor: Branca , Características Adicionais: Visor Frontal Para Álcool Gel Ou Sabonete Líquido , Tipo Fixação: Parede</t>
  </si>
  <si>
    <t>Dispenser protetor assento sanitário, material: plástico, capacidade: 40 fl, tipo: de parede, cor: branco leitoso, tamanho: 21 x 13,70 x 2,50 cm</t>
  </si>
  <si>
    <t xml:space="preserve">Escova de pia  </t>
  </si>
  <si>
    <t>Escova em material plástico resistente com cerdas de nylon</t>
  </si>
  <si>
    <t xml:space="preserve">Extensão elétrica de 50 metros </t>
  </si>
  <si>
    <t>KIT CABO EXTENSOR 3m ALUMÍNIO LIMPA VIDRO E ESCOVA; COMPOSTO POR 01 CABO EXTENSOR TELESCÓPICO DE 3 METROS EM ALUMÍNIO; 01 RODO LIMPA VIDROS DE 25cm E 01 ESCOVA LIMPA TETO; BASE DO RODO 10cm: FLANELA DE MICROFIBRA E BORRACHA; ESCOVA/VASSOURA LIMPA TETO: FORMATO DE BOLA EM PLÁSTICO C/ ROSCA P/ COLOCAÇÃO DE CABO, CERDAS EM NYLON</t>
  </si>
  <si>
    <t>Luva de borracha forrada de cano longo</t>
  </si>
  <si>
    <t>Luva de pano tricotada pigmentada branca</t>
  </si>
  <si>
    <t>Mangueira trançada multiuso, transparente, em PVC resistente, de 01 polegada com conexão e esguicho,  rolo de 50 metros</t>
  </si>
  <si>
    <t>Mangueira trançada multiuso, transparente, em PVC resistente, de ½¨com conexão e esguicho,  rolo de 100 metros</t>
  </si>
  <si>
    <t>Pá coletora clip articulada c/ haste e fixador vassoura</t>
  </si>
  <si>
    <t>Pulverizador manual de 5 litros</t>
  </si>
  <si>
    <t xml:space="preserve">Rodo de 40 cm, com cabo alumínio ou em aço inoxidável - (cabo longo)  </t>
  </si>
  <si>
    <t>Rodo de 60 cm, com cabo Alumínio ou em aço inoxidável – (cabo longo)</t>
  </si>
  <si>
    <t>Vassoura de gari com cabo medindo 1,70m</t>
  </si>
  <si>
    <t xml:space="preserve">Vassoura de pelo 40 cm </t>
  </si>
  <si>
    <t xml:space="preserve">Vassoura de pelo 60 cm </t>
  </si>
  <si>
    <t>Vassoura de Piaçava chapa n.º 5</t>
  </si>
  <si>
    <t>Vassoura, material cerdas: sisal, material cabo: madeira, tipo: vasculho, aplicação: limpeza teto, comprimento cabo: 300 cm</t>
  </si>
  <si>
    <t>(1) A quantidade de material é meramente estimativa e sugestiva, podendo haver variações no quantitativo e no descritivo a ser consumido. É obrigação da Contratada o fornecimento dos mesmos para completa execução dos serviços de limpeza, podendo ser de acordo com a tecnologia e treinamentos utilizados pela mesma.</t>
  </si>
  <si>
    <t>(2) O Caderno de Logísticas do Ministério do Planejamento Orçamento e Gestão, define a porcentagem de custos de Materiais e Equipamentos, com base no posto de servente, mantendo o percentual de 12%, utilizando  Base de Cálculo Módulo 1, Módulo 2, Módulo 3 e SubMódolo 5.1., menos 9,25% incidente do COFINS, evitando assim bitributação da Planilha de Composição de Custos.</t>
  </si>
  <si>
    <t>Anexo II - D - RELAÇÃO DE MATERIAIS</t>
  </si>
  <si>
    <t xml:space="preserve">Servente de Limpeza de Laboratórios </t>
  </si>
  <si>
    <r>
      <t>Materiais</t>
    </r>
    <r>
      <rPr>
        <sz val="8"/>
        <rFont val="Calibri"/>
        <family val="2"/>
        <scheme val="minor"/>
      </rPr>
      <t xml:space="preserve"> (12%, utilizando  Base de Cálculo Módulo 1, Módulo 2, Módulo 3 e SubMódolo 5.1., menos 9,25% incidente do COFINS)</t>
    </r>
  </si>
  <si>
    <t>Região Encarregado e Líderes</t>
  </si>
  <si>
    <t>Descrição</t>
  </si>
  <si>
    <t>Área Limpeza (m2)</t>
  </si>
  <si>
    <t>Força de Trabalho Máxima Estimada</t>
  </si>
  <si>
    <t>Interna Comum TOTAL</t>
  </si>
  <si>
    <t>Interna Comum, sem WC e Lab.</t>
  </si>
  <si>
    <t>Banheiros</t>
  </si>
  <si>
    <t>Esquadrias Internas</t>
  </si>
  <si>
    <t>Laborat. E Médico Hospitalar</t>
  </si>
  <si>
    <t>Externa Comum</t>
  </si>
  <si>
    <t>Servente</t>
  </si>
  <si>
    <t>Líder</t>
  </si>
  <si>
    <t>Reitoria, Arquivo, CRIAA, CAJUFF, Mequinho</t>
  </si>
  <si>
    <t>Prédio Principal: 8 andares</t>
  </si>
  <si>
    <t>Pórtico Reitoria</t>
  </si>
  <si>
    <t>Térreo (saguão)</t>
  </si>
  <si>
    <t>CASQ</t>
  </si>
  <si>
    <t>Procuradoria Geral</t>
  </si>
  <si>
    <t>EDUFF</t>
  </si>
  <si>
    <t>GPCA - Protocolo</t>
  </si>
  <si>
    <t>Área Externa</t>
  </si>
  <si>
    <t xml:space="preserve">CEART </t>
  </si>
  <si>
    <t>Subtotal  Literal</t>
  </si>
  <si>
    <t>Subtotal Ajustado</t>
  </si>
  <si>
    <t>Campus do Valonguinho (A)</t>
  </si>
  <si>
    <t>INEST</t>
  </si>
  <si>
    <t>Biblioteca Valonguinho e DCE</t>
  </si>
  <si>
    <t>Núcleo de Animais de Laboratório - NAL, LANTE e Mazzine</t>
  </si>
  <si>
    <t>Facu. Administração e STI</t>
  </si>
  <si>
    <t>Faculdades deAdministração Prédio 30</t>
  </si>
  <si>
    <t>Faculdade de Nutrição</t>
  </si>
  <si>
    <t>Campus do Valonguinho (B)</t>
  </si>
  <si>
    <t>Instituto de Química</t>
  </si>
  <si>
    <t>Ufasa Valonguinho e Bloco Anexo</t>
  </si>
  <si>
    <t>IAC (Física Velha)</t>
  </si>
  <si>
    <t>Complexo Inst. Biomédico</t>
  </si>
  <si>
    <t>Campus do Gragoatá (A)</t>
  </si>
  <si>
    <t>Campus do Gragoatá (B)</t>
  </si>
  <si>
    <t>Bloco G - Instituto de Matemática e Estatística</t>
  </si>
  <si>
    <t>Superintendência de Documentação - SDC e Biblioteca da Matemática</t>
  </si>
  <si>
    <t>Campus do Gragoatá (C)</t>
  </si>
  <si>
    <t>Pórtico Faculdade de Educação Física</t>
  </si>
  <si>
    <t>Pórtico Principal Campus Gragoatá</t>
  </si>
  <si>
    <t>Campus do Gragoatá (D)</t>
  </si>
  <si>
    <t>Bloco IACS NOVO</t>
  </si>
  <si>
    <t>Campus da Praia Vermelha (A)</t>
  </si>
  <si>
    <t>Escola de Arquitetura Chalé, Casarão e Galpão</t>
  </si>
  <si>
    <t>Instituto de Geociências Bloco O</t>
  </si>
  <si>
    <t>Instituto de Geociências Bloco P</t>
  </si>
  <si>
    <t>Núcleo de Estudos em Biomassa</t>
  </si>
  <si>
    <t>Instituto de Química 
(novo prédio)</t>
  </si>
  <si>
    <t>STI</t>
  </si>
  <si>
    <t>Campus da Praia Vermelha (B)</t>
  </si>
  <si>
    <t>Biblioteca Central da Engenharia</t>
  </si>
  <si>
    <t>Instituto de Física (Bloco N)</t>
  </si>
  <si>
    <t>Campus da Praia Vermelha (C ), IACS, Direito</t>
  </si>
  <si>
    <t>Pórtico Passos da Pátria</t>
  </si>
  <si>
    <t>Pórtico Boa Viagem</t>
  </si>
  <si>
    <t>Pórtico Avenida Litorânea</t>
  </si>
  <si>
    <t>Unidades Isoladas Niterói</t>
  </si>
  <si>
    <t>Faculdade de Medicina 
(novo prédio)</t>
  </si>
  <si>
    <t>Unidades do Interior (A)</t>
  </si>
  <si>
    <t>Núcleo Experimental de Iguaba Grande</t>
  </si>
  <si>
    <t>Instituto de Ciências da Sociedade de Macaé</t>
  </si>
  <si>
    <t>Rio das Ostras 
(Novo Prédio)</t>
  </si>
  <si>
    <t>Área Externa Total RO</t>
  </si>
  <si>
    <t>Pólo Campos Goytacazes 
Blocos A e B Novo</t>
  </si>
  <si>
    <t>Instituto do Noroeste F. Educação Superior Pádua</t>
  </si>
  <si>
    <t>Volta Redonda e Angra dos Reis</t>
  </si>
  <si>
    <t>Refeitório e Quadra</t>
  </si>
  <si>
    <t>TOTAL GERAL</t>
  </si>
  <si>
    <t>Produtividade</t>
  </si>
  <si>
    <t>Área Interna - COMUM</t>
  </si>
  <si>
    <t>Área Interna - BANHEIROS</t>
  </si>
  <si>
    <t>Área Interna - LABORATÓRIOS</t>
  </si>
  <si>
    <t xml:space="preserve">Área Externa </t>
  </si>
  <si>
    <t>Área Esquadrias</t>
  </si>
  <si>
    <t>AREA TOTAL</t>
  </si>
  <si>
    <t>1 - Área de produtividade por funcionário, com base na Portaria 213 MPOG de 25/09/2017 (e adpatado as demandas da UFF).</t>
  </si>
  <si>
    <t>1.000,00 m² para área interna comum com periodicidade diária;</t>
  </si>
  <si>
    <t>200 m² para área Banheiro com periodicidade diária;</t>
  </si>
  <si>
    <t>300,00 m² para área de esquadria envidraçada (interna e externa), com periodicidade quinzenal;</t>
  </si>
  <si>
    <t>300,00 m² para área de laboratório com períodicidade diária;</t>
  </si>
  <si>
    <t>2.000,00 m² para área externa com periodicidade diária;</t>
  </si>
  <si>
    <t>2 - Quantidade líder e de encarregado:</t>
  </si>
  <si>
    <t>1 encarregado para cada 30 funcionários ou sob critério da Administração pela natureza da execução do contrato.</t>
  </si>
  <si>
    <t>1 líder para cada 15 funcionários ou sob critério da Administração pela natureza da execução do contrato.</t>
  </si>
  <si>
    <t>Instituto de Geociências - Bloco O e P</t>
  </si>
  <si>
    <r>
      <t>Anexo IV-C - DETALHAMENTO DOS POSTOS</t>
    </r>
    <r>
      <rPr>
        <sz val="9"/>
        <color rgb="FFFF0000"/>
        <rFont val="Verdana"/>
        <charset val="134"/>
      </rPr>
      <t xml:space="preserve">	</t>
    </r>
  </si>
  <si>
    <t>4101-05</t>
  </si>
  <si>
    <t>Anexo II - C - RELAÇÃO DE UNIFORMES</t>
  </si>
  <si>
    <r>
      <t>Anexo IV-A - PLANILHA DE COMPOSIÇÃO DE CUSTOS E FORMAÇÃO DE PREÇOS</t>
    </r>
    <r>
      <rPr>
        <sz val="9"/>
        <color rgb="FFFF0000"/>
        <rFont val="Verdana"/>
        <charset val="134"/>
      </rPr>
      <t xml:space="preserve"> (Anexo VII da I.N. da SLTI/MPOG n.º 5 de 26/Maio/2017			</t>
    </r>
  </si>
  <si>
    <t>Bloco A - UFASA PROGRAD Gragoatá e Casq Pilotis</t>
  </si>
  <si>
    <t>Instituto de Computação - Laboratórios Bloco Q</t>
  </si>
  <si>
    <t>Instituto de Computação - Salas de Aula Bloco R</t>
  </si>
  <si>
    <r>
      <t xml:space="preserve">VALOR ANUAL PARA </t>
    </r>
    <r>
      <rPr>
        <b/>
        <sz val="10"/>
        <color rgb="FFFF0000"/>
        <rFont val="Calibri"/>
        <family val="2"/>
        <scheme val="minor"/>
      </rPr>
      <t>543</t>
    </r>
    <r>
      <rPr>
        <b/>
        <sz val="10"/>
        <color theme="1"/>
        <rFont val="Calibri"/>
        <family val="2"/>
        <scheme val="minor"/>
      </rPr>
      <t xml:space="preserve"> POSTOS (SERVENTES E LÍDERES)</t>
    </r>
  </si>
  <si>
    <r>
      <t xml:space="preserve">VALOR MENSAL PARA </t>
    </r>
    <r>
      <rPr>
        <b/>
        <sz val="10"/>
        <color rgb="FFFF0000"/>
        <rFont val="Calibri"/>
        <family val="2"/>
        <scheme val="minor"/>
      </rPr>
      <t>543</t>
    </r>
    <r>
      <rPr>
        <b/>
        <sz val="10"/>
        <color theme="1"/>
        <rFont val="Calibri"/>
        <family val="2"/>
        <scheme val="minor"/>
      </rPr>
      <t xml:space="preserve"> POSTOS (SERVENTES E LÍDERES)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</si>
</sst>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7" formatCode="&quot;R$&quot;\ #,##0.00;\-&quot;R$&quot;\ #,##0.00"/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/m/yyyy"/>
    <numFmt numFmtId="165" formatCode="&quot;R$&quot;\ #,##0.00"/>
    <numFmt numFmtId="166" formatCode="#,##0.00_);\(#,##0.00\)"/>
    <numFmt numFmtId="167" formatCode="_-&quot;R$&quot;\ * #,##0.00_-;\-&quot;R$&quot;\ * #,##0.00_-;_-&quot;R$&quot;\ * &quot;-&quot;??_-;_-@"/>
    <numFmt numFmtId="168" formatCode="0.00000000E+00"/>
    <numFmt numFmtId="169" formatCode="&quot;R$&quot;\ #,##0.000"/>
  </numFmts>
  <fonts count="74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charset val="134"/>
      <scheme val="minor"/>
    </font>
    <font>
      <b/>
      <sz val="9"/>
      <color rgb="FFFF0000"/>
      <name val="Verdana"/>
      <charset val="134"/>
    </font>
    <font>
      <b/>
      <sz val="9"/>
      <name val="Verdana"/>
      <charset val="134"/>
    </font>
    <font>
      <b/>
      <sz val="11"/>
      <name val="Calibri"/>
      <charset val="134"/>
      <scheme val="minor"/>
    </font>
    <font>
      <b/>
      <sz val="11"/>
      <color theme="9" tint="-0.249977111117893"/>
      <name val="Calibri"/>
      <charset val="134"/>
      <scheme val="minor"/>
    </font>
    <font>
      <b/>
      <sz val="11"/>
      <color rgb="FFFF0000"/>
      <name val="Calibri"/>
      <charset val="134"/>
      <scheme val="minor"/>
    </font>
    <font>
      <sz val="11"/>
      <color theme="1"/>
      <name val="Arial"/>
      <charset val="134"/>
    </font>
    <font>
      <sz val="11"/>
      <color rgb="FF000000"/>
      <name val="Calibri"/>
      <charset val="134"/>
    </font>
    <font>
      <b/>
      <sz val="12"/>
      <color rgb="FFFFFFFF"/>
      <name val="Calibri"/>
      <charset val="134"/>
      <scheme val="minor"/>
    </font>
    <font>
      <sz val="9"/>
      <name val="Verdana"/>
      <charset val="134"/>
    </font>
    <font>
      <sz val="9"/>
      <color rgb="FFFF0000"/>
      <name val="Verdana"/>
      <charset val="134"/>
    </font>
    <font>
      <sz val="11"/>
      <color rgb="FFFF0000"/>
      <name val="Calibri"/>
      <charset val="134"/>
      <scheme val="minor"/>
    </font>
    <font>
      <sz val="11"/>
      <color theme="1"/>
      <name val="Calibri"/>
      <charset val="13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name val="Arial"/>
      <family val="2"/>
    </font>
    <font>
      <sz val="8"/>
      <color rgb="FF3D372D"/>
      <name val="Verdana"/>
      <family val="2"/>
    </font>
    <font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2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vertAlign val="superscript"/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sz val="9"/>
      <name val="Verdana"/>
      <family val="2"/>
    </font>
    <font>
      <sz val="11"/>
      <name val="Calibri"/>
      <family val="2"/>
    </font>
    <font>
      <sz val="9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9"/>
      <color theme="1"/>
      <name val="Verdana"/>
      <family val="2"/>
    </font>
    <font>
      <b/>
      <sz val="9"/>
      <color rgb="FF000000"/>
      <name val="Verdana"/>
      <family val="2"/>
    </font>
    <font>
      <sz val="11"/>
      <color rgb="FF000000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b/>
      <i/>
      <sz val="10"/>
      <color theme="1"/>
      <name val="Arial"/>
      <family val="2"/>
    </font>
    <font>
      <i/>
      <sz val="9"/>
      <color theme="1"/>
      <name val="Verdan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theme="1"/>
      <name val="Calibri"/>
      <family val="2"/>
    </font>
    <font>
      <b/>
      <sz val="10"/>
      <color rgb="FF000000"/>
      <name val="Calibri"/>
      <family val="2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name val="Verdana"/>
      <family val="2"/>
    </font>
    <font>
      <b/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rgb="FFFF0000"/>
      <name val="Verdana"/>
      <family val="2"/>
    </font>
    <font>
      <b/>
      <sz val="10"/>
      <name val="Verdana"/>
      <family val="2"/>
    </font>
    <font>
      <b/>
      <sz val="10"/>
      <name val="Arial"/>
      <family val="2"/>
    </font>
    <font>
      <i/>
      <sz val="11"/>
      <name val="Calibri"/>
      <family val="2"/>
      <scheme val="minor"/>
    </font>
    <font>
      <b/>
      <sz val="9"/>
      <color rgb="FFFF0000"/>
      <name val="Verdana"/>
      <family val="2"/>
    </font>
  </fonts>
  <fills count="20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B4C6E7"/>
        <bgColor rgb="FFB4C6E7"/>
      </patternFill>
    </fill>
    <fill>
      <patternFill patternType="solid">
        <fgColor theme="4" tint="0.79998168889431442"/>
        <bgColor indexed="26"/>
      </patternFill>
    </fill>
    <fill>
      <patternFill patternType="solid">
        <fgColor theme="0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D9F0"/>
        <bgColor rgb="FFC6D9F0"/>
      </patternFill>
    </fill>
    <fill>
      <patternFill patternType="solid">
        <fgColor rgb="FFBDD6EE"/>
        <bgColor rgb="FFBDD6EE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B8CCE4"/>
      </patternFill>
    </fill>
    <fill>
      <patternFill patternType="solid">
        <fgColor rgb="FFDBE5F1"/>
        <bgColor rgb="FFDBE5F1"/>
      </patternFill>
    </fill>
    <fill>
      <patternFill patternType="solid">
        <fgColor rgb="FFFFFF00"/>
        <bgColor rgb="FFDBE5F1"/>
      </patternFill>
    </fill>
    <fill>
      <patternFill patternType="solid">
        <fgColor theme="0"/>
        <bgColor theme="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6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9">
    <xf numFmtId="0" fontId="0" fillId="0" borderId="0"/>
    <xf numFmtId="0" fontId="10" fillId="0" borderId="0"/>
    <xf numFmtId="44" fontId="16" fillId="0" borderId="0" applyFont="0" applyFill="0" applyBorder="0" applyAlignment="0" applyProtection="0"/>
    <xf numFmtId="0" fontId="13" fillId="0" borderId="0"/>
    <xf numFmtId="0" fontId="11" fillId="0" borderId="0"/>
    <xf numFmtId="0" fontId="2" fillId="0" borderId="0"/>
    <xf numFmtId="0" fontId="24" fillId="0" borderId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</cellStyleXfs>
  <cellXfs count="470">
    <xf numFmtId="0" fontId="0" fillId="0" borderId="0" xfId="0"/>
    <xf numFmtId="0" fontId="4" fillId="0" borderId="0" xfId="0" applyFont="1" applyAlignment="1">
      <alignment horizontal="center"/>
    </xf>
    <xf numFmtId="0" fontId="8" fillId="0" borderId="0" xfId="0" applyFont="1"/>
    <xf numFmtId="0" fontId="6" fillId="0" borderId="0" xfId="0" applyFont="1" applyAlignment="1">
      <alignment vertical="distributed" wrapText="1" shrinkToFit="1" readingOrder="1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/>
    <xf numFmtId="0" fontId="7" fillId="0" borderId="0" xfId="0" applyFont="1" applyAlignment="1">
      <alignment vertical="center" wrapText="1"/>
    </xf>
    <xf numFmtId="0" fontId="0" fillId="4" borderId="0" xfId="0" applyFill="1" applyAlignment="1">
      <alignment vertical="center"/>
    </xf>
    <xf numFmtId="164" fontId="0" fillId="4" borderId="0" xfId="0" applyNumberForma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12" fillId="0" borderId="0" xfId="0" applyFont="1"/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3" fillId="0" borderId="0" xfId="0" applyFont="1"/>
    <xf numFmtId="165" fontId="18" fillId="0" borderId="1" xfId="0" applyNumberFormat="1" applyFont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165" fontId="20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8" fillId="0" borderId="2" xfId="0" applyFont="1" applyBorder="1" applyAlignment="1">
      <alignment horizontal="left" vertical="center" wrapText="1"/>
    </xf>
    <xf numFmtId="0" fontId="28" fillId="4" borderId="0" xfId="0" applyFont="1" applyFill="1" applyAlignment="1">
      <alignment horizontal="left" vertical="center" wrapText="1"/>
    </xf>
    <xf numFmtId="0" fontId="28" fillId="4" borderId="0" xfId="0" applyFont="1" applyFill="1" applyAlignment="1">
      <alignment horizontal="center" vertical="center"/>
    </xf>
    <xf numFmtId="0" fontId="17" fillId="6" borderId="0" xfId="0" applyFont="1" applyFill="1" applyAlignment="1">
      <alignment vertical="center"/>
    </xf>
    <xf numFmtId="0" fontId="17" fillId="8" borderId="9" xfId="0" applyFont="1" applyFill="1" applyBorder="1" applyAlignment="1">
      <alignment horizontal="center" vertical="center"/>
    </xf>
    <xf numFmtId="0" fontId="17" fillId="8" borderId="10" xfId="0" applyFont="1" applyFill="1" applyBorder="1" applyAlignment="1">
      <alignment horizontal="center" vertical="center"/>
    </xf>
    <xf numFmtId="0" fontId="20" fillId="8" borderId="10" xfId="0" applyFont="1" applyFill="1" applyBorder="1" applyAlignment="1">
      <alignment horizontal="center" vertical="center"/>
    </xf>
    <xf numFmtId="0" fontId="20" fillId="8" borderId="11" xfId="0" applyFont="1" applyFill="1" applyBorder="1" applyAlignment="1">
      <alignment horizontal="center" vertical="center"/>
    </xf>
    <xf numFmtId="0" fontId="0" fillId="4" borderId="9" xfId="0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20" fillId="4" borderId="10" xfId="0" applyFont="1" applyFill="1" applyBorder="1" applyAlignment="1">
      <alignment horizontal="center" vertical="center"/>
    </xf>
    <xf numFmtId="165" fontId="20" fillId="4" borderId="11" xfId="0" applyNumberFormat="1" applyFont="1" applyFill="1" applyBorder="1" applyAlignment="1">
      <alignment horizontal="center" vertical="center"/>
    </xf>
    <xf numFmtId="0" fontId="0" fillId="4" borderId="6" xfId="0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20" fillId="4" borderId="7" xfId="0" applyFont="1" applyFill="1" applyBorder="1" applyAlignment="1">
      <alignment horizontal="center" vertical="center"/>
    </xf>
    <xf numFmtId="165" fontId="20" fillId="4" borderId="8" xfId="0" applyNumberFormat="1" applyFont="1" applyFill="1" applyBorder="1" applyAlignment="1">
      <alignment horizontal="center" vertical="center"/>
    </xf>
    <xf numFmtId="0" fontId="20" fillId="10" borderId="4" xfId="0" applyFont="1" applyFill="1" applyBorder="1" applyAlignment="1" applyProtection="1">
      <alignment vertical="center"/>
      <protection locked="0"/>
    </xf>
    <xf numFmtId="0" fontId="20" fillId="10" borderId="4" xfId="0" applyFont="1" applyFill="1" applyBorder="1" applyAlignment="1" applyProtection="1">
      <alignment vertical="center" wrapText="1"/>
      <protection locked="0"/>
    </xf>
    <xf numFmtId="0" fontId="20" fillId="10" borderId="5" xfId="0" applyFont="1" applyFill="1" applyBorder="1" applyAlignment="1" applyProtection="1">
      <alignment vertical="center" wrapText="1"/>
      <protection locked="0"/>
    </xf>
    <xf numFmtId="0" fontId="20" fillId="4" borderId="9" xfId="0" applyFont="1" applyFill="1" applyBorder="1" applyAlignment="1">
      <alignment horizontal="center" vertical="center"/>
    </xf>
    <xf numFmtId="0" fontId="20" fillId="0" borderId="10" xfId="0" applyFont="1" applyBorder="1" applyAlignment="1" applyProtection="1">
      <alignment vertical="center"/>
      <protection locked="0"/>
    </xf>
    <xf numFmtId="0" fontId="20" fillId="0" borderId="11" xfId="0" applyFont="1" applyBorder="1" applyAlignment="1" applyProtection="1">
      <alignment vertical="center"/>
      <protection locked="0"/>
    </xf>
    <xf numFmtId="0" fontId="18" fillId="4" borderId="9" xfId="0" applyFont="1" applyFill="1" applyBorder="1" applyAlignment="1">
      <alignment horizontal="center" vertical="center"/>
    </xf>
    <xf numFmtId="165" fontId="32" fillId="0" borderId="10" xfId="2" applyNumberFormat="1" applyFont="1" applyFill="1" applyBorder="1" applyAlignment="1" applyProtection="1">
      <alignment vertical="center"/>
    </xf>
    <xf numFmtId="165" fontId="0" fillId="4" borderId="10" xfId="0" applyNumberFormat="1" applyFill="1" applyBorder="1" applyAlignment="1">
      <alignment horizontal="center" vertical="center"/>
    </xf>
    <xf numFmtId="165" fontId="0" fillId="0" borderId="10" xfId="0" applyNumberFormat="1" applyBorder="1"/>
    <xf numFmtId="165" fontId="0" fillId="0" borderId="11" xfId="0" applyNumberFormat="1" applyBorder="1"/>
    <xf numFmtId="44" fontId="32" fillId="0" borderId="10" xfId="2" applyFont="1" applyFill="1" applyBorder="1" applyAlignment="1" applyProtection="1">
      <alignment vertical="center"/>
      <protection locked="0"/>
    </xf>
    <xf numFmtId="0" fontId="0" fillId="4" borderId="10" xfId="0" applyFill="1" applyBorder="1" applyAlignment="1">
      <alignment horizontal="center" vertical="center"/>
    </xf>
    <xf numFmtId="0" fontId="0" fillId="0" borderId="10" xfId="0" applyBorder="1"/>
    <xf numFmtId="0" fontId="0" fillId="0" borderId="11" xfId="0" applyBorder="1"/>
    <xf numFmtId="165" fontId="0" fillId="4" borderId="10" xfId="0" applyNumberFormat="1" applyFill="1" applyBorder="1" applyAlignment="1">
      <alignment vertical="center"/>
    </xf>
    <xf numFmtId="44" fontId="32" fillId="5" borderId="10" xfId="2" applyFont="1" applyFill="1" applyBorder="1" applyAlignment="1" applyProtection="1">
      <alignment vertical="center"/>
      <protection locked="0"/>
    </xf>
    <xf numFmtId="0" fontId="18" fillId="4" borderId="6" xfId="0" applyFont="1" applyFill="1" applyBorder="1" applyAlignment="1">
      <alignment vertical="center"/>
    </xf>
    <xf numFmtId="44" fontId="20" fillId="0" borderId="7" xfId="2" applyFont="1" applyFill="1" applyBorder="1" applyAlignment="1" applyProtection="1">
      <alignment vertical="center"/>
    </xf>
    <xf numFmtId="44" fontId="20" fillId="0" borderId="8" xfId="2" applyFont="1" applyFill="1" applyBorder="1" applyAlignment="1" applyProtection="1">
      <alignment vertical="center"/>
    </xf>
    <xf numFmtId="0" fontId="20" fillId="10" borderId="10" xfId="0" applyFont="1" applyFill="1" applyBorder="1" applyAlignment="1" applyProtection="1">
      <alignment vertical="center"/>
      <protection locked="0"/>
    </xf>
    <xf numFmtId="0" fontId="20" fillId="10" borderId="10" xfId="0" applyFont="1" applyFill="1" applyBorder="1" applyAlignment="1" applyProtection="1">
      <alignment vertical="center" wrapText="1"/>
      <protection locked="0"/>
    </xf>
    <xf numFmtId="0" fontId="20" fillId="0" borderId="10" xfId="0" applyFont="1" applyBorder="1" applyAlignment="1">
      <alignment vertical="center"/>
    </xf>
    <xf numFmtId="0" fontId="18" fillId="4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vertical="center"/>
    </xf>
    <xf numFmtId="44" fontId="32" fillId="4" borderId="10" xfId="2" applyFont="1" applyFill="1" applyBorder="1" applyAlignment="1" applyProtection="1">
      <alignment vertical="center"/>
    </xf>
    <xf numFmtId="44" fontId="20" fillId="4" borderId="10" xfId="2" applyFont="1" applyFill="1" applyBorder="1" applyAlignment="1" applyProtection="1">
      <alignment vertical="center"/>
    </xf>
    <xf numFmtId="0" fontId="18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justify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justify" vertical="center" wrapText="1"/>
    </xf>
    <xf numFmtId="2" fontId="18" fillId="4" borderId="10" xfId="0" applyNumberFormat="1" applyFont="1" applyFill="1" applyBorder="1" applyAlignment="1">
      <alignment horizontal="center" vertical="center"/>
    </xf>
    <xf numFmtId="0" fontId="33" fillId="0" borderId="10" xfId="0" applyFont="1" applyBorder="1" applyAlignment="1">
      <alignment horizontal="justify" vertical="center" wrapText="1"/>
    </xf>
    <xf numFmtId="2" fontId="33" fillId="4" borderId="10" xfId="0" applyNumberFormat="1" applyFont="1" applyFill="1" applyBorder="1" applyAlignment="1">
      <alignment horizontal="center" vertical="center"/>
    </xf>
    <xf numFmtId="44" fontId="33" fillId="4" borderId="10" xfId="2" applyFont="1" applyFill="1" applyBorder="1" applyAlignment="1" applyProtection="1">
      <alignment vertical="center"/>
    </xf>
    <xf numFmtId="0" fontId="18" fillId="4" borderId="10" xfId="0" applyFont="1" applyFill="1" applyBorder="1" applyAlignment="1">
      <alignment vertical="center"/>
    </xf>
    <xf numFmtId="2" fontId="20" fillId="4" borderId="10" xfId="0" applyNumberFormat="1" applyFont="1" applyFill="1" applyBorder="1" applyAlignment="1">
      <alignment horizontal="center" vertical="center"/>
    </xf>
    <xf numFmtId="0" fontId="18" fillId="4" borderId="0" xfId="0" applyFont="1" applyFill="1" applyAlignment="1">
      <alignment vertical="center"/>
    </xf>
    <xf numFmtId="0" fontId="33" fillId="4" borderId="0" xfId="0" applyFont="1" applyFill="1" applyAlignment="1">
      <alignment vertical="center"/>
    </xf>
    <xf numFmtId="44" fontId="18" fillId="0" borderId="10" xfId="2" applyFont="1" applyFill="1" applyBorder="1" applyAlignment="1" applyProtection="1">
      <alignment vertical="center"/>
      <protection locked="0"/>
    </xf>
    <xf numFmtId="8" fontId="18" fillId="0" borderId="10" xfId="2" applyNumberFormat="1" applyFont="1" applyFill="1" applyBorder="1" applyAlignment="1" applyProtection="1">
      <alignment vertical="center"/>
      <protection locked="0"/>
    </xf>
    <xf numFmtId="44" fontId="32" fillId="0" borderId="10" xfId="2" applyFont="1" applyFill="1" applyBorder="1" applyAlignment="1" applyProtection="1">
      <alignment vertical="center"/>
    </xf>
    <xf numFmtId="44" fontId="20" fillId="0" borderId="10" xfId="2" applyFont="1" applyFill="1" applyBorder="1" applyAlignment="1" applyProtection="1">
      <alignment vertical="center"/>
    </xf>
    <xf numFmtId="0" fontId="20" fillId="0" borderId="0" xfId="0" applyFont="1" applyAlignment="1" applyProtection="1">
      <alignment vertical="center"/>
      <protection locked="0"/>
    </xf>
    <xf numFmtId="166" fontId="20" fillId="0" borderId="0" xfId="0" applyNumberFormat="1" applyFont="1" applyAlignment="1">
      <alignment horizontal="center" vertical="center"/>
    </xf>
    <xf numFmtId="0" fontId="18" fillId="4" borderId="10" xfId="0" applyFont="1" applyFill="1" applyBorder="1" applyAlignment="1">
      <alignment horizontal="left" vertical="center"/>
    </xf>
    <xf numFmtId="166" fontId="20" fillId="0" borderId="10" xfId="0" applyNumberFormat="1" applyFont="1" applyBorder="1" applyAlignment="1">
      <alignment vertical="center"/>
    </xf>
    <xf numFmtId="0" fontId="20" fillId="0" borderId="0" xfId="0" applyFont="1" applyAlignment="1" applyProtection="1">
      <alignment horizontal="center" vertical="center"/>
      <protection locked="0"/>
    </xf>
    <xf numFmtId="4" fontId="32" fillId="0" borderId="10" xfId="2" applyNumberFormat="1" applyFont="1" applyFill="1" applyBorder="1" applyAlignment="1" applyProtection="1">
      <alignment vertical="center"/>
    </xf>
    <xf numFmtId="4" fontId="32" fillId="4" borderId="10" xfId="2" applyNumberFormat="1" applyFont="1" applyFill="1" applyBorder="1" applyAlignment="1" applyProtection="1">
      <alignment vertical="center"/>
    </xf>
    <xf numFmtId="2" fontId="18" fillId="4" borderId="10" xfId="1" applyNumberFormat="1" applyFont="1" applyFill="1" applyBorder="1" applyAlignment="1">
      <alignment vertical="center"/>
    </xf>
    <xf numFmtId="0" fontId="20" fillId="4" borderId="22" xfId="0" applyFont="1" applyFill="1" applyBorder="1" applyAlignment="1">
      <alignment horizontal="center" vertical="center"/>
    </xf>
    <xf numFmtId="0" fontId="20" fillId="0" borderId="25" xfId="0" applyFont="1" applyBorder="1" applyAlignment="1">
      <alignment vertical="center" wrapText="1"/>
    </xf>
    <xf numFmtId="0" fontId="18" fillId="4" borderId="22" xfId="0" applyFont="1" applyFill="1" applyBorder="1" applyAlignment="1">
      <alignment horizontal="center" vertical="center"/>
    </xf>
    <xf numFmtId="2" fontId="20" fillId="4" borderId="25" xfId="0" applyNumberFormat="1" applyFont="1" applyFill="1" applyBorder="1" applyAlignment="1">
      <alignment vertical="center"/>
    </xf>
    <xf numFmtId="0" fontId="18" fillId="4" borderId="26" xfId="0" applyFont="1" applyFill="1" applyBorder="1" applyAlignment="1">
      <alignment horizontal="center" vertical="center"/>
    </xf>
    <xf numFmtId="2" fontId="20" fillId="4" borderId="29" xfId="0" applyNumberFormat="1" applyFont="1" applyFill="1" applyBorder="1" applyAlignment="1">
      <alignment vertical="center"/>
    </xf>
    <xf numFmtId="0" fontId="20" fillId="10" borderId="2" xfId="0" applyFont="1" applyFill="1" applyBorder="1" applyAlignment="1" applyProtection="1">
      <alignment vertical="center"/>
      <protection locked="0"/>
    </xf>
    <xf numFmtId="0" fontId="20" fillId="10" borderId="2" xfId="0" applyFont="1" applyFill="1" applyBorder="1" applyAlignment="1" applyProtection="1">
      <alignment vertical="center" wrapText="1"/>
      <protection locked="0"/>
    </xf>
    <xf numFmtId="0" fontId="20" fillId="4" borderId="2" xfId="0" applyFont="1" applyFill="1" applyBorder="1" applyAlignment="1">
      <alignment horizontal="left" vertical="center"/>
    </xf>
    <xf numFmtId="166" fontId="20" fillId="0" borderId="2" xfId="0" applyNumberFormat="1" applyFont="1" applyBorder="1" applyAlignment="1">
      <alignment vertical="center"/>
    </xf>
    <xf numFmtId="0" fontId="18" fillId="4" borderId="2" xfId="0" applyFont="1" applyFill="1" applyBorder="1" applyAlignment="1">
      <alignment horizontal="left" vertical="center"/>
    </xf>
    <xf numFmtId="44" fontId="32" fillId="0" borderId="2" xfId="2" applyFont="1" applyFill="1" applyBorder="1" applyAlignment="1" applyProtection="1">
      <alignment vertical="center"/>
    </xf>
    <xf numFmtId="0" fontId="18" fillId="4" borderId="2" xfId="0" applyFont="1" applyFill="1" applyBorder="1" applyAlignment="1">
      <alignment vertical="center"/>
    </xf>
    <xf numFmtId="44" fontId="20" fillId="0" borderId="2" xfId="2" applyFont="1" applyFill="1" applyBorder="1" applyAlignment="1" applyProtection="1">
      <alignment vertical="center"/>
    </xf>
    <xf numFmtId="0" fontId="20" fillId="0" borderId="2" xfId="0" applyFont="1" applyBorder="1" applyAlignment="1">
      <alignment horizontal="center" vertical="center"/>
    </xf>
    <xf numFmtId="0" fontId="20" fillId="0" borderId="2" xfId="0" applyFont="1" applyBorder="1" applyAlignment="1" applyProtection="1">
      <alignment vertical="center"/>
      <protection locked="0"/>
    </xf>
    <xf numFmtId="0" fontId="18" fillId="0" borderId="2" xfId="0" applyFont="1" applyBorder="1" applyAlignment="1">
      <alignment horizontal="center" vertical="center"/>
    </xf>
    <xf numFmtId="165" fontId="32" fillId="0" borderId="2" xfId="2" applyNumberFormat="1" applyFont="1" applyFill="1" applyBorder="1" applyAlignment="1" applyProtection="1">
      <alignment vertical="center"/>
      <protection locked="0"/>
    </xf>
    <xf numFmtId="165" fontId="26" fillId="0" borderId="2" xfId="2" applyNumberFormat="1" applyFont="1" applyFill="1" applyBorder="1" applyAlignment="1" applyProtection="1">
      <alignment vertical="center"/>
      <protection locked="0"/>
    </xf>
    <xf numFmtId="44" fontId="32" fillId="6" borderId="2" xfId="2" applyFont="1" applyFill="1" applyBorder="1" applyAlignment="1" applyProtection="1">
      <alignment vertical="center"/>
      <protection locked="0"/>
    </xf>
    <xf numFmtId="0" fontId="18" fillId="0" borderId="2" xfId="0" applyFont="1" applyBorder="1" applyAlignment="1">
      <alignment vertical="center"/>
    </xf>
    <xf numFmtId="165" fontId="20" fillId="0" borderId="2" xfId="2" applyNumberFormat="1" applyFont="1" applyFill="1" applyBorder="1" applyAlignment="1" applyProtection="1">
      <alignment vertical="center"/>
      <protection locked="0"/>
    </xf>
    <xf numFmtId="0" fontId="20" fillId="0" borderId="0" xfId="0" applyFont="1" applyAlignment="1">
      <alignment horizontal="justify" vertical="center" wrapText="1"/>
    </xf>
    <xf numFmtId="2" fontId="20" fillId="4" borderId="0" xfId="0" applyNumberFormat="1" applyFont="1" applyFill="1" applyAlignment="1">
      <alignment horizontal="center" vertical="center"/>
    </xf>
    <xf numFmtId="0" fontId="20" fillId="0" borderId="2" xfId="0" applyFont="1" applyBorder="1" applyAlignment="1">
      <alignment horizontal="justify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vertical="center" wrapText="1"/>
    </xf>
    <xf numFmtId="0" fontId="18" fillId="0" borderId="2" xfId="0" applyFont="1" applyBorder="1" applyAlignment="1">
      <alignment horizontal="justify" vertical="center" wrapText="1"/>
    </xf>
    <xf numFmtId="0" fontId="18" fillId="4" borderId="2" xfId="0" applyFont="1" applyFill="1" applyBorder="1" applyAlignment="1">
      <alignment horizontal="center" vertical="center"/>
    </xf>
    <xf numFmtId="44" fontId="32" fillId="4" borderId="2" xfId="2" applyFont="1" applyFill="1" applyBorder="1" applyAlignment="1" applyProtection="1">
      <alignment vertical="center"/>
    </xf>
    <xf numFmtId="0" fontId="0" fillId="0" borderId="2" xfId="0" applyBorder="1"/>
    <xf numFmtId="0" fontId="20" fillId="4" borderId="2" xfId="0" applyFont="1" applyFill="1" applyBorder="1" applyAlignment="1">
      <alignment horizontal="center" vertical="center"/>
    </xf>
    <xf numFmtId="44" fontId="20" fillId="4" borderId="2" xfId="2" applyFont="1" applyFill="1" applyBorder="1" applyAlignment="1" applyProtection="1">
      <alignment vertical="center"/>
    </xf>
    <xf numFmtId="2" fontId="20" fillId="4" borderId="2" xfId="0" applyNumberFormat="1" applyFont="1" applyFill="1" applyBorder="1" applyAlignment="1">
      <alignment horizontal="center" vertical="center"/>
    </xf>
    <xf numFmtId="0" fontId="20" fillId="4" borderId="0" xfId="0" applyFont="1" applyFill="1" applyAlignment="1">
      <alignment vertical="center"/>
    </xf>
    <xf numFmtId="2" fontId="18" fillId="4" borderId="2" xfId="0" applyNumberFormat="1" applyFont="1" applyFill="1" applyBorder="1" applyAlignment="1">
      <alignment horizontal="center" vertical="center"/>
    </xf>
    <xf numFmtId="0" fontId="35" fillId="0" borderId="2" xfId="0" applyFont="1" applyBorder="1" applyAlignment="1">
      <alignment horizontal="left" vertical="center" wrapText="1"/>
    </xf>
    <xf numFmtId="0" fontId="35" fillId="0" borderId="2" xfId="6" applyFont="1" applyBorder="1" applyAlignment="1">
      <alignment horizontal="left" vertical="center" wrapText="1"/>
    </xf>
    <xf numFmtId="0" fontId="36" fillId="0" borderId="2" xfId="0" applyFont="1" applyBorder="1" applyAlignment="1">
      <alignment horizontal="left" vertical="center" wrapText="1"/>
    </xf>
    <xf numFmtId="0" fontId="35" fillId="5" borderId="2" xfId="0" applyFont="1" applyFill="1" applyBorder="1" applyAlignment="1">
      <alignment horizontal="left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 wrapText="1"/>
    </xf>
    <xf numFmtId="8" fontId="0" fillId="0" borderId="2" xfId="0" applyNumberFormat="1" applyBorder="1" applyAlignment="1">
      <alignment horizontal="center" vertical="center" wrapText="1"/>
    </xf>
    <xf numFmtId="165" fontId="0" fillId="0" borderId="11" xfId="0" applyNumberFormat="1" applyBorder="1" applyAlignment="1">
      <alignment horizontal="center" vertical="center" wrapText="1"/>
    </xf>
    <xf numFmtId="165" fontId="17" fillId="3" borderId="6" xfId="0" applyNumberFormat="1" applyFont="1" applyFill="1" applyBorder="1" applyAlignment="1">
      <alignment horizontal="center" vertical="center"/>
    </xf>
    <xf numFmtId="0" fontId="0" fillId="0" borderId="7" xfId="0" applyBorder="1"/>
    <xf numFmtId="1" fontId="17" fillId="3" borderId="7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 horizontal="left" vertical="center" wrapText="1"/>
    </xf>
    <xf numFmtId="165" fontId="40" fillId="5" borderId="0" xfId="0" applyNumberFormat="1" applyFont="1" applyFill="1" applyAlignment="1">
      <alignment horizontal="center" vertical="center"/>
    </xf>
    <xf numFmtId="0" fontId="36" fillId="5" borderId="0" xfId="0" applyFont="1" applyFill="1"/>
    <xf numFmtId="1" fontId="40" fillId="5" borderId="0" xfId="0" applyNumberFormat="1" applyFont="1" applyFill="1" applyAlignment="1">
      <alignment horizontal="center" vertical="center"/>
    </xf>
    <xf numFmtId="0" fontId="36" fillId="0" borderId="0" xfId="0" applyFont="1"/>
    <xf numFmtId="0" fontId="0" fillId="5" borderId="0" xfId="0" applyFill="1"/>
    <xf numFmtId="0" fontId="36" fillId="0" borderId="0" xfId="0" applyFont="1" applyAlignment="1">
      <alignment horizontal="center" vertical="center" wrapText="1"/>
    </xf>
    <xf numFmtId="0" fontId="40" fillId="3" borderId="4" xfId="0" applyFont="1" applyFill="1" applyBorder="1" applyAlignment="1">
      <alignment horizontal="center" vertical="center" wrapText="1"/>
    </xf>
    <xf numFmtId="0" fontId="40" fillId="3" borderId="5" xfId="0" applyFont="1" applyFill="1" applyBorder="1" applyAlignment="1">
      <alignment horizontal="center" vertical="center" wrapText="1"/>
    </xf>
    <xf numFmtId="168" fontId="0" fillId="0" borderId="0" xfId="0" applyNumberFormat="1"/>
    <xf numFmtId="0" fontId="36" fillId="0" borderId="0" xfId="0" applyFont="1" applyAlignment="1">
      <alignment horizontal="center" vertical="center"/>
    </xf>
    <xf numFmtId="0" fontId="40" fillId="3" borderId="2" xfId="0" applyFont="1" applyFill="1" applyBorder="1" applyAlignment="1">
      <alignment horizontal="center" vertical="center" wrapText="1"/>
    </xf>
    <xf numFmtId="0" fontId="40" fillId="3" borderId="11" xfId="0" applyFont="1" applyFill="1" applyBorder="1" applyAlignment="1">
      <alignment horizontal="center" vertical="center" wrapText="1"/>
    </xf>
    <xf numFmtId="0" fontId="43" fillId="0" borderId="9" xfId="0" applyFont="1" applyBorder="1" applyAlignment="1">
      <alignment vertical="center" wrapText="1"/>
    </xf>
    <xf numFmtId="4" fontId="43" fillId="0" borderId="2" xfId="0" applyNumberFormat="1" applyFont="1" applyBorder="1" applyAlignment="1">
      <alignment horizontal="center" vertical="center" wrapText="1"/>
    </xf>
    <xf numFmtId="4" fontId="43" fillId="0" borderId="11" xfId="0" applyNumberFormat="1" applyFont="1" applyBorder="1" applyAlignment="1">
      <alignment horizontal="center" vertical="center" wrapText="1"/>
    </xf>
    <xf numFmtId="0" fontId="40" fillId="0" borderId="6" xfId="0" applyFont="1" applyBorder="1" applyAlignment="1">
      <alignment vertical="center" wrapText="1"/>
    </xf>
    <xf numFmtId="0" fontId="40" fillId="0" borderId="7" xfId="0" applyFont="1" applyBorder="1" applyAlignment="1">
      <alignment vertical="center" wrapText="1"/>
    </xf>
    <xf numFmtId="4" fontId="40" fillId="0" borderId="7" xfId="0" applyNumberFormat="1" applyFont="1" applyBorder="1" applyAlignment="1">
      <alignment horizontal="center" vertical="center" wrapText="1"/>
    </xf>
    <xf numFmtId="4" fontId="40" fillId="0" borderId="8" xfId="0" applyNumberFormat="1" applyFont="1" applyBorder="1" applyAlignment="1">
      <alignment horizontal="center"/>
    </xf>
    <xf numFmtId="0" fontId="48" fillId="0" borderId="10" xfId="0" applyFont="1" applyBorder="1" applyAlignment="1">
      <alignment horizontal="center" vertical="center" wrapText="1"/>
    </xf>
    <xf numFmtId="0" fontId="36" fillId="0" borderId="0" xfId="0" applyFont="1" applyAlignment="1">
      <alignment wrapText="1"/>
    </xf>
    <xf numFmtId="0" fontId="37" fillId="11" borderId="41" xfId="0" applyFont="1" applyFill="1" applyBorder="1" applyAlignment="1">
      <alignment horizontal="center"/>
    </xf>
    <xf numFmtId="0" fontId="37" fillId="11" borderId="41" xfId="0" applyFont="1" applyFill="1" applyBorder="1" applyAlignment="1">
      <alignment horizont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justify" vertical="top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9" fontId="35" fillId="0" borderId="10" xfId="0" applyNumberFormat="1" applyFont="1" applyBorder="1" applyAlignment="1">
      <alignment horizontal="center" vertical="center"/>
    </xf>
    <xf numFmtId="8" fontId="35" fillId="0" borderId="10" xfId="0" applyNumberFormat="1" applyFont="1" applyBorder="1" applyAlignment="1">
      <alignment horizontal="center" vertical="center"/>
    </xf>
    <xf numFmtId="8" fontId="36" fillId="0" borderId="41" xfId="0" applyNumberFormat="1" applyFont="1" applyBorder="1" applyAlignment="1">
      <alignment horizontal="center" vertical="center"/>
    </xf>
    <xf numFmtId="4" fontId="36" fillId="0" borderId="41" xfId="0" applyNumberFormat="1" applyFont="1" applyBorder="1" applyAlignment="1">
      <alignment vertical="center"/>
    </xf>
    <xf numFmtId="44" fontId="35" fillId="0" borderId="10" xfId="8" applyFont="1" applyBorder="1" applyAlignment="1">
      <alignment horizontal="right" vertical="center"/>
    </xf>
    <xf numFmtId="0" fontId="37" fillId="0" borderId="41" xfId="0" applyFont="1" applyBorder="1" applyAlignment="1">
      <alignment horizontal="left"/>
    </xf>
    <xf numFmtId="8" fontId="37" fillId="0" borderId="41" xfId="0" applyNumberFormat="1" applyFont="1" applyBorder="1" applyAlignment="1">
      <alignment horizontal="right"/>
    </xf>
    <xf numFmtId="0" fontId="51" fillId="0" borderId="41" xfId="0" applyFont="1" applyBorder="1" applyAlignment="1">
      <alignment horizontal="left" wrapText="1"/>
    </xf>
    <xf numFmtId="167" fontId="37" fillId="0" borderId="41" xfId="0" applyNumberFormat="1" applyFont="1" applyBorder="1"/>
    <xf numFmtId="0" fontId="37" fillId="0" borderId="39" xfId="0" applyFont="1" applyBorder="1" applyAlignment="1">
      <alignment horizontal="center" wrapText="1"/>
    </xf>
    <xf numFmtId="0" fontId="37" fillId="0" borderId="0" xfId="0" applyFont="1" applyAlignment="1">
      <alignment wrapText="1"/>
    </xf>
    <xf numFmtId="0" fontId="37" fillId="0" borderId="0" xfId="0" applyFont="1"/>
    <xf numFmtId="0" fontId="37" fillId="12" borderId="3" xfId="1" applyFont="1" applyFill="1" applyBorder="1" applyAlignment="1">
      <alignment vertical="center"/>
    </xf>
    <xf numFmtId="0" fontId="37" fillId="12" borderId="5" xfId="1" applyFont="1" applyFill="1" applyBorder="1" applyAlignment="1">
      <alignment horizontal="center" vertical="center" wrapText="1"/>
    </xf>
    <xf numFmtId="0" fontId="35" fillId="0" borderId="9" xfId="1" applyFont="1" applyBorder="1"/>
    <xf numFmtId="0" fontId="35" fillId="0" borderId="11" xfId="1" applyFont="1" applyBorder="1" applyAlignment="1">
      <alignment horizontal="center"/>
    </xf>
    <xf numFmtId="0" fontId="28" fillId="0" borderId="11" xfId="1" applyFont="1" applyBorder="1" applyAlignment="1">
      <alignment horizontal="center"/>
    </xf>
    <xf numFmtId="0" fontId="37" fillId="7" borderId="6" xfId="1" applyFont="1" applyFill="1" applyBorder="1" applyAlignment="1">
      <alignment horizontal="left"/>
    </xf>
    <xf numFmtId="0" fontId="37" fillId="7" borderId="8" xfId="1" applyFont="1" applyFill="1" applyBorder="1" applyAlignment="1">
      <alignment horizontal="center"/>
    </xf>
    <xf numFmtId="0" fontId="36" fillId="5" borderId="0" xfId="0" applyFont="1" applyFill="1" applyBorder="1" applyAlignment="1">
      <alignment horizontal="center"/>
    </xf>
    <xf numFmtId="0" fontId="51" fillId="5" borderId="0" xfId="0" applyFont="1" applyFill="1" applyBorder="1" applyAlignment="1">
      <alignment horizontal="center"/>
    </xf>
    <xf numFmtId="0" fontId="52" fillId="15" borderId="44" xfId="0" applyFont="1" applyFill="1" applyBorder="1" applyAlignment="1">
      <alignment horizontal="center" vertical="center" wrapText="1"/>
    </xf>
    <xf numFmtId="0" fontId="53" fillId="15" borderId="45" xfId="0" applyFont="1" applyFill="1" applyBorder="1" applyAlignment="1">
      <alignment horizontal="center" vertical="center" wrapText="1"/>
    </xf>
    <xf numFmtId="0" fontId="52" fillId="15" borderId="45" xfId="0" applyFont="1" applyFill="1" applyBorder="1" applyAlignment="1">
      <alignment horizontal="center" vertical="center" wrapText="1"/>
    </xf>
    <xf numFmtId="0" fontId="52" fillId="15" borderId="46" xfId="0" applyFont="1" applyFill="1" applyBorder="1" applyAlignment="1">
      <alignment horizontal="center" vertical="center" wrapText="1"/>
    </xf>
    <xf numFmtId="0" fontId="52" fillId="15" borderId="47" xfId="0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0" fontId="0" fillId="17" borderId="41" xfId="0" applyFill="1" applyBorder="1" applyAlignment="1">
      <alignment vertical="center" wrapText="1"/>
    </xf>
    <xf numFmtId="0" fontId="0" fillId="0" borderId="41" xfId="0" applyBorder="1" applyAlignment="1">
      <alignment horizontal="center" vertical="center"/>
    </xf>
    <xf numFmtId="0" fontId="0" fillId="17" borderId="41" xfId="0" applyFill="1" applyBorder="1" applyAlignment="1">
      <alignment horizontal="center" vertical="center" wrapText="1"/>
    </xf>
    <xf numFmtId="0" fontId="54" fillId="0" borderId="41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17" borderId="41" xfId="0" applyFill="1" applyBorder="1" applyAlignment="1">
      <alignment horizontal="left" vertical="center" wrapText="1"/>
    </xf>
    <xf numFmtId="0" fontId="0" fillId="0" borderId="55" xfId="0" applyBorder="1" applyAlignment="1">
      <alignment horizontal="center" vertical="center"/>
    </xf>
    <xf numFmtId="0" fontId="47" fillId="17" borderId="55" xfId="0" applyFont="1" applyFill="1" applyBorder="1" applyAlignment="1">
      <alignment horizontal="center" vertical="center" wrapText="1"/>
    </xf>
    <xf numFmtId="0" fontId="0" fillId="17" borderId="55" xfId="0" applyFill="1" applyBorder="1" applyAlignment="1">
      <alignment horizontal="center" vertical="center" wrapText="1"/>
    </xf>
    <xf numFmtId="0" fontId="0" fillId="0" borderId="51" xfId="0" applyBorder="1" applyAlignment="1">
      <alignment horizontal="right" vertical="center"/>
    </xf>
    <xf numFmtId="0" fontId="0" fillId="17" borderId="55" xfId="0" applyFill="1" applyBorder="1" applyAlignment="1">
      <alignment horizontal="left" vertical="center" wrapText="1"/>
    </xf>
    <xf numFmtId="0" fontId="52" fillId="15" borderId="47" xfId="0" applyFont="1" applyFill="1" applyBorder="1" applyAlignment="1">
      <alignment horizontal="center"/>
    </xf>
    <xf numFmtId="0" fontId="0" fillId="0" borderId="41" xfId="0" applyBorder="1" applyAlignment="1">
      <alignment vertical="center" wrapText="1"/>
    </xf>
    <xf numFmtId="0" fontId="0" fillId="0" borderId="41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0" fillId="0" borderId="36" xfId="0" applyBorder="1" applyAlignment="1">
      <alignment vertical="center" wrapText="1"/>
    </xf>
    <xf numFmtId="0" fontId="0" fillId="0" borderId="36" xfId="0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56" fillId="5" borderId="10" xfId="0" applyFont="1" applyFill="1" applyBorder="1" applyAlignment="1">
      <alignment horizontal="center" vertical="center"/>
    </xf>
    <xf numFmtId="0" fontId="56" fillId="17" borderId="41" xfId="0" applyFont="1" applyFill="1" applyBorder="1" applyAlignment="1">
      <alignment horizontal="left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8" fillId="0" borderId="0" xfId="0" applyFont="1"/>
    <xf numFmtId="0" fontId="61" fillId="15" borderId="47" xfId="0" applyFont="1" applyFill="1" applyBorder="1" applyAlignment="1">
      <alignment horizontal="center" vertical="center" wrapText="1"/>
    </xf>
    <xf numFmtId="0" fontId="0" fillId="0" borderId="58" xfId="0" applyBorder="1"/>
    <xf numFmtId="0" fontId="0" fillId="0" borderId="0" xfId="0" applyAlignment="1">
      <alignment wrapText="1"/>
    </xf>
    <xf numFmtId="0" fontId="62" fillId="15" borderId="59" xfId="0" applyFont="1" applyFill="1" applyBorder="1" applyAlignment="1">
      <alignment horizontal="center" vertical="center" wrapText="1"/>
    </xf>
    <xf numFmtId="0" fontId="61" fillId="15" borderId="59" xfId="0" applyFont="1" applyFill="1" applyBorder="1" applyAlignment="1">
      <alignment horizontal="center" vertical="center" wrapText="1"/>
    </xf>
    <xf numFmtId="0" fontId="61" fillId="15" borderId="60" xfId="0" applyFont="1" applyFill="1" applyBorder="1" applyAlignment="1">
      <alignment horizontal="center" vertical="center" wrapText="1"/>
    </xf>
    <xf numFmtId="0" fontId="23" fillId="0" borderId="51" xfId="0" applyFont="1" applyBorder="1" applyAlignment="1">
      <alignment horizontal="center" vertical="center" wrapText="1"/>
    </xf>
    <xf numFmtId="0" fontId="35" fillId="5" borderId="10" xfId="0" applyFont="1" applyFill="1" applyBorder="1" applyAlignment="1">
      <alignment horizontal="justify"/>
    </xf>
    <xf numFmtId="0" fontId="36" fillId="0" borderId="41" xfId="0" applyFont="1" applyBorder="1" applyAlignment="1">
      <alignment horizontal="center" vertical="center" wrapText="1"/>
    </xf>
    <xf numFmtId="3" fontId="36" fillId="0" borderId="61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justify"/>
    </xf>
    <xf numFmtId="0" fontId="36" fillId="0" borderId="41" xfId="0" applyFont="1" applyBorder="1" applyAlignment="1">
      <alignment horizontal="left" wrapText="1"/>
    </xf>
    <xf numFmtId="0" fontId="36" fillId="0" borderId="61" xfId="0" applyFont="1" applyBorder="1" applyAlignment="1">
      <alignment horizontal="center" vertical="center" wrapText="1"/>
    </xf>
    <xf numFmtId="0" fontId="36" fillId="0" borderId="41" xfId="0" applyFont="1" applyBorder="1" applyAlignment="1">
      <alignment horizontal="left" vertical="center" wrapText="1"/>
    </xf>
    <xf numFmtId="0" fontId="50" fillId="5" borderId="10" xfId="0" applyFont="1" applyFill="1" applyBorder="1" applyAlignment="1">
      <alignment horizontal="justify" vertical="top" wrapText="1"/>
    </xf>
    <xf numFmtId="0" fontId="55" fillId="5" borderId="41" xfId="0" applyFont="1" applyFill="1" applyBorder="1" applyAlignment="1">
      <alignment horizontal="left" wrapText="1"/>
    </xf>
    <xf numFmtId="0" fontId="55" fillId="5" borderId="41" xfId="0" applyFont="1" applyFill="1" applyBorder="1" applyAlignment="1">
      <alignment horizontal="center" vertical="center" wrapText="1"/>
    </xf>
    <xf numFmtId="3" fontId="36" fillId="5" borderId="61" xfId="0" applyNumberFormat="1" applyFont="1" applyFill="1" applyBorder="1" applyAlignment="1">
      <alignment horizontal="center" vertical="center" wrapText="1"/>
    </xf>
    <xf numFmtId="0" fontId="62" fillId="15" borderId="59" xfId="0" applyFont="1" applyFill="1" applyBorder="1" applyAlignment="1">
      <alignment horizontal="left" vertical="center" wrapText="1"/>
    </xf>
    <xf numFmtId="0" fontId="23" fillId="0" borderId="41" xfId="0" applyFont="1" applyBorder="1" applyAlignment="1">
      <alignment horizontal="left" vertical="top" wrapText="1"/>
    </xf>
    <xf numFmtId="0" fontId="23" fillId="0" borderId="61" xfId="0" applyFont="1" applyBorder="1" applyAlignment="1">
      <alignment horizontal="center" vertical="center" wrapText="1"/>
    </xf>
    <xf numFmtId="0" fontId="55" fillId="13" borderId="41" xfId="0" applyFont="1" applyFill="1" applyBorder="1" applyAlignment="1">
      <alignment horizontal="left" wrapText="1"/>
    </xf>
    <xf numFmtId="0" fontId="55" fillId="13" borderId="41" xfId="0" applyFont="1" applyFill="1" applyBorder="1" applyAlignment="1">
      <alignment horizontal="center" vertical="center" wrapText="1"/>
    </xf>
    <xf numFmtId="0" fontId="36" fillId="13" borderId="61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justify" vertical="top" wrapText="1"/>
    </xf>
    <xf numFmtId="0" fontId="36" fillId="0" borderId="55" xfId="0" applyFont="1" applyBorder="1" applyAlignment="1">
      <alignment horizontal="center" vertical="center" wrapText="1"/>
    </xf>
    <xf numFmtId="0" fontId="36" fillId="0" borderId="62" xfId="0" applyFont="1" applyBorder="1" applyAlignment="1">
      <alignment horizontal="center" vertical="center" wrapText="1"/>
    </xf>
    <xf numFmtId="0" fontId="36" fillId="0" borderId="58" xfId="0" applyFont="1" applyBorder="1"/>
    <xf numFmtId="0" fontId="7" fillId="0" borderId="0" xfId="0" applyFont="1" applyAlignment="1">
      <alignment vertical="distributed" wrapText="1" shrinkToFit="1" readingOrder="1"/>
    </xf>
    <xf numFmtId="0" fontId="47" fillId="5" borderId="10" xfId="0" applyFont="1" applyFill="1" applyBorder="1"/>
    <xf numFmtId="0" fontId="52" fillId="5" borderId="0" xfId="0" applyFont="1" applyFill="1" applyAlignment="1">
      <alignment horizontal="right" vertical="center" wrapText="1"/>
    </xf>
    <xf numFmtId="0" fontId="0" fillId="5" borderId="0" xfId="0" applyFill="1" applyAlignment="1">
      <alignment horizontal="center" vertical="center"/>
    </xf>
    <xf numFmtId="0" fontId="55" fillId="5" borderId="0" xfId="0" applyFont="1" applyFill="1" applyAlignment="1">
      <alignment horizontal="center" vertical="center"/>
    </xf>
    <xf numFmtId="44" fontId="63" fillId="0" borderId="0" xfId="0" applyNumberFormat="1" applyFont="1"/>
    <xf numFmtId="165" fontId="63" fillId="0" borderId="0" xfId="0" applyNumberFormat="1" applyFont="1"/>
    <xf numFmtId="165" fontId="0" fillId="0" borderId="2" xfId="0" applyNumberFormat="1" applyBorder="1" applyAlignment="1">
      <alignment horizontal="center" vertical="center" wrapText="1"/>
    </xf>
    <xf numFmtId="0" fontId="17" fillId="3" borderId="7" xfId="0" applyNumberFormat="1" applyFont="1" applyFill="1" applyBorder="1" applyAlignment="1">
      <alignment horizontal="center" vertical="center"/>
    </xf>
    <xf numFmtId="165" fontId="18" fillId="5" borderId="2" xfId="0" applyNumberFormat="1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 wrapText="1"/>
    </xf>
    <xf numFmtId="0" fontId="65" fillId="10" borderId="30" xfId="0" applyFont="1" applyFill="1" applyBorder="1" applyAlignment="1">
      <alignment horizontal="center" vertical="center" wrapText="1"/>
    </xf>
    <xf numFmtId="4" fontId="65" fillId="10" borderId="30" xfId="0" applyNumberFormat="1" applyFont="1" applyFill="1" applyBorder="1" applyAlignment="1">
      <alignment horizontal="center" vertical="center" wrapText="1"/>
    </xf>
    <xf numFmtId="43" fontId="35" fillId="0" borderId="10" xfId="7" applyFont="1" applyBorder="1" applyAlignment="1">
      <alignment horizontal="center" vertical="center"/>
    </xf>
    <xf numFmtId="43" fontId="35" fillId="0" borderId="10" xfId="7" applyFont="1" applyBorder="1" applyAlignment="1">
      <alignment vertical="center"/>
    </xf>
    <xf numFmtId="4" fontId="35" fillId="0" borderId="10" xfId="0" applyNumberFormat="1" applyFont="1" applyBorder="1" applyAlignment="1">
      <alignment horizontal="center" vertical="center"/>
    </xf>
    <xf numFmtId="4" fontId="46" fillId="0" borderId="10" xfId="0" applyNumberFormat="1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43" fontId="68" fillId="0" borderId="10" xfId="7" applyFont="1" applyBorder="1" applyAlignment="1">
      <alignment horizontal="center" vertical="center"/>
    </xf>
    <xf numFmtId="4" fontId="68" fillId="0" borderId="10" xfId="0" applyNumberFormat="1" applyFont="1" applyBorder="1" applyAlignment="1">
      <alignment horizontal="center" vertical="center"/>
    </xf>
    <xf numFmtId="4" fontId="69" fillId="0" borderId="10" xfId="0" applyNumberFormat="1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43" fontId="28" fillId="0" borderId="10" xfId="7" applyFont="1" applyBorder="1" applyAlignment="1">
      <alignment horizontal="center" vertical="center"/>
    </xf>
    <xf numFmtId="4" fontId="28" fillId="0" borderId="10" xfId="0" applyNumberFormat="1" applyFont="1" applyBorder="1" applyAlignment="1">
      <alignment horizontal="center" vertical="center"/>
    </xf>
    <xf numFmtId="4" fontId="70" fillId="19" borderId="10" xfId="0" applyNumberFormat="1" applyFont="1" applyFill="1" applyBorder="1" applyAlignment="1">
      <alignment horizontal="center" vertical="center"/>
    </xf>
    <xf numFmtId="0" fontId="48" fillId="0" borderId="10" xfId="6" applyFont="1" applyBorder="1" applyAlignment="1">
      <alignment horizontal="center" vertical="center" wrapText="1"/>
    </xf>
    <xf numFmtId="2" fontId="28" fillId="0" borderId="10" xfId="0" applyNumberFormat="1" applyFont="1" applyBorder="1" applyAlignment="1">
      <alignment horizontal="center" vertical="center"/>
    </xf>
    <xf numFmtId="4" fontId="65" fillId="19" borderId="10" xfId="0" applyNumberFormat="1" applyFont="1" applyFill="1" applyBorder="1" applyAlignment="1">
      <alignment horizontal="center" vertical="center" wrapText="1"/>
    </xf>
    <xf numFmtId="0" fontId="48" fillId="5" borderId="10" xfId="0" applyFont="1" applyFill="1" applyBorder="1" applyAlignment="1">
      <alignment horizontal="center" vertical="center" wrapText="1"/>
    </xf>
    <xf numFmtId="43" fontId="35" fillId="5" borderId="10" xfId="7" applyFont="1" applyFill="1" applyBorder="1" applyAlignment="1">
      <alignment horizontal="center" vertical="center"/>
    </xf>
    <xf numFmtId="4" fontId="35" fillId="5" borderId="10" xfId="0" applyNumberFormat="1" applyFont="1" applyFill="1" applyBorder="1" applyAlignment="1">
      <alignment horizontal="center" vertical="center"/>
    </xf>
    <xf numFmtId="4" fontId="46" fillId="5" borderId="10" xfId="0" applyNumberFormat="1" applyFont="1" applyFill="1" applyBorder="1" applyAlignment="1">
      <alignment horizontal="center" vertical="center" wrapText="1"/>
    </xf>
    <xf numFmtId="0" fontId="20" fillId="0" borderId="0" xfId="0" applyFont="1"/>
    <xf numFmtId="0" fontId="20" fillId="0" borderId="0" xfId="0" applyFont="1" applyAlignment="1">
      <alignment horizontal="justify"/>
    </xf>
    <xf numFmtId="43" fontId="20" fillId="0" borderId="0" xfId="7" applyFont="1" applyBorder="1" applyAlignment="1"/>
    <xf numFmtId="3" fontId="20" fillId="0" borderId="0" xfId="0" applyNumberFormat="1" applyFont="1" applyAlignment="1">
      <alignment horizontal="center"/>
    </xf>
    <xf numFmtId="0" fontId="18" fillId="0" borderId="0" xfId="0" applyFont="1" applyAlignment="1">
      <alignment horizontal="center" vertical="center"/>
    </xf>
    <xf numFmtId="4" fontId="18" fillId="0" borderId="0" xfId="0" applyNumberFormat="1" applyFont="1"/>
    <xf numFmtId="0" fontId="18" fillId="0" borderId="0" xfId="0" applyFont="1"/>
    <xf numFmtId="1" fontId="20" fillId="0" borderId="0" xfId="0" applyNumberFormat="1" applyFont="1"/>
    <xf numFmtId="0" fontId="71" fillId="0" borderId="0" xfId="0" applyFont="1" applyAlignment="1">
      <alignment horizontal="center" wrapText="1"/>
    </xf>
    <xf numFmtId="0" fontId="71" fillId="0" borderId="0" xfId="0" applyFont="1" applyAlignment="1">
      <alignment horizontal="center"/>
    </xf>
    <xf numFmtId="0" fontId="35" fillId="0" borderId="0" xfId="0" applyFont="1" applyAlignment="1">
      <alignment horizontal="center" vertical="center"/>
    </xf>
    <xf numFmtId="4" fontId="35" fillId="0" borderId="0" xfId="0" applyNumberFormat="1" applyFont="1"/>
    <xf numFmtId="0" fontId="19" fillId="0" borderId="0" xfId="0" applyFont="1"/>
    <xf numFmtId="0" fontId="72" fillId="0" borderId="0" xfId="0" applyFont="1" applyAlignment="1">
      <alignment vertical="center"/>
    </xf>
    <xf numFmtId="0" fontId="72" fillId="0" borderId="0" xfId="0" applyFont="1"/>
    <xf numFmtId="4" fontId="72" fillId="0" borderId="0" xfId="0" applyNumberFormat="1" applyFont="1"/>
    <xf numFmtId="0" fontId="72" fillId="0" borderId="0" xfId="0" applyFont="1" applyAlignment="1">
      <alignment horizontal="left"/>
    </xf>
    <xf numFmtId="0" fontId="50" fillId="0" borderId="15" xfId="0" applyFont="1" applyBorder="1" applyAlignment="1">
      <alignment horizontal="justify" vertical="top"/>
    </xf>
    <xf numFmtId="0" fontId="36" fillId="0" borderId="37" xfId="0" applyFont="1" applyBorder="1" applyAlignment="1">
      <alignment horizontal="left" wrapText="1"/>
    </xf>
    <xf numFmtId="0" fontId="35" fillId="5" borderId="15" xfId="0" applyFont="1" applyFill="1" applyBorder="1" applyAlignment="1">
      <alignment horizontal="justify"/>
    </xf>
    <xf numFmtId="8" fontId="36" fillId="0" borderId="39" xfId="0" applyNumberFormat="1" applyFont="1" applyBorder="1" applyAlignment="1">
      <alignment horizontal="center" vertical="center"/>
    </xf>
    <xf numFmtId="43" fontId="35" fillId="0" borderId="10" xfId="7" applyFont="1" applyBorder="1" applyAlignment="1">
      <alignment horizontal="center" vertical="center"/>
    </xf>
    <xf numFmtId="169" fontId="17" fillId="3" borderId="8" xfId="0" applyNumberFormat="1" applyFont="1" applyFill="1" applyBorder="1" applyAlignment="1">
      <alignment horizontal="center" vertical="center"/>
    </xf>
    <xf numFmtId="165" fontId="0" fillId="0" borderId="0" xfId="0" applyNumberFormat="1"/>
    <xf numFmtId="43" fontId="35" fillId="0" borderId="10" xfId="0" applyNumberFormat="1" applyFont="1" applyBorder="1" applyAlignment="1">
      <alignment horizontal="center" vertical="center"/>
    </xf>
    <xf numFmtId="4" fontId="40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distributed" wrapText="1" shrinkToFit="1" readingOrder="1"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5" fillId="0" borderId="2" xfId="0" applyFont="1" applyBorder="1" applyAlignment="1">
      <alignment horizontal="left" vertical="center" wrapText="1"/>
    </xf>
    <xf numFmtId="0" fontId="36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9" fillId="0" borderId="0" xfId="0" applyFont="1" applyAlignment="1">
      <alignment horizontal="center" vertical="distributed" wrapText="1" shrinkToFit="1" readingOrder="1"/>
    </xf>
    <xf numFmtId="0" fontId="7" fillId="0" borderId="0" xfId="0" applyFont="1" applyAlignment="1">
      <alignment horizontal="center" vertical="center" wrapText="1"/>
    </xf>
    <xf numFmtId="0" fontId="28" fillId="10" borderId="2" xfId="0" applyFont="1" applyFill="1" applyBorder="1" applyAlignment="1">
      <alignment horizontal="center" vertical="center" wrapText="1"/>
    </xf>
    <xf numFmtId="0" fontId="35" fillId="0" borderId="9" xfId="1" applyFont="1" applyBorder="1" applyAlignment="1">
      <alignment horizontal="left" vertical="center"/>
    </xf>
    <xf numFmtId="0" fontId="35" fillId="0" borderId="9" xfId="1" applyFont="1" applyBorder="1"/>
    <xf numFmtId="0" fontId="35" fillId="0" borderId="11" xfId="1" applyFont="1" applyBorder="1" applyAlignment="1">
      <alignment horizontal="center" vertical="center"/>
    </xf>
    <xf numFmtId="0" fontId="35" fillId="0" borderId="11" xfId="1" applyFont="1" applyBorder="1"/>
    <xf numFmtId="165" fontId="36" fillId="5" borderId="0" xfId="0" applyNumberFormat="1" applyFont="1" applyFill="1" applyBorder="1" applyAlignment="1">
      <alignment horizontal="center" vertical="center"/>
    </xf>
    <xf numFmtId="0" fontId="35" fillId="5" borderId="0" xfId="0" applyFont="1" applyFill="1" applyBorder="1"/>
    <xf numFmtId="7" fontId="36" fillId="5" borderId="0" xfId="0" applyNumberFormat="1" applyFont="1" applyFill="1" applyBorder="1" applyAlignment="1">
      <alignment horizontal="center"/>
    </xf>
    <xf numFmtId="0" fontId="35" fillId="0" borderId="9" xfId="1" applyFont="1" applyBorder="1" applyAlignment="1">
      <alignment horizontal="left"/>
    </xf>
    <xf numFmtId="0" fontId="35" fillId="0" borderId="11" xfId="1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6" fillId="0" borderId="0" xfId="0" applyFont="1"/>
    <xf numFmtId="0" fontId="36" fillId="0" borderId="0" xfId="0" applyFont="1" applyAlignment="1">
      <alignment horizontal="left" wrapText="1"/>
    </xf>
    <xf numFmtId="0" fontId="36" fillId="0" borderId="0" xfId="0" applyFont="1" applyAlignment="1">
      <alignment horizontal="left" vertical="center" wrapText="1"/>
    </xf>
    <xf numFmtId="0" fontId="37" fillId="0" borderId="0" xfId="0" applyFont="1" applyAlignment="1">
      <alignment horizontal="left" wrapText="1"/>
    </xf>
    <xf numFmtId="0" fontId="37" fillId="0" borderId="0" xfId="0" applyFont="1" applyAlignment="1">
      <alignment horizontal="center" vertical="center"/>
    </xf>
    <xf numFmtId="0" fontId="37" fillId="12" borderId="42" xfId="1" applyFont="1" applyFill="1" applyBorder="1" applyAlignment="1">
      <alignment horizontal="center" vertical="center"/>
    </xf>
    <xf numFmtId="0" fontId="37" fillId="12" borderId="43" xfId="1" applyFont="1" applyFill="1" applyBorder="1" applyAlignment="1">
      <alignment horizontal="center" vertical="center"/>
    </xf>
    <xf numFmtId="0" fontId="37" fillId="14" borderId="0" xfId="0" applyFont="1" applyFill="1" applyBorder="1" applyAlignment="1">
      <alignment horizontal="center" vertical="center"/>
    </xf>
    <xf numFmtId="0" fontId="37" fillId="14" borderId="0" xfId="0" applyFont="1" applyFill="1" applyBorder="1" applyAlignment="1">
      <alignment horizontal="center" vertical="center" wrapText="1"/>
    </xf>
    <xf numFmtId="0" fontId="37" fillId="0" borderId="37" xfId="0" applyFont="1" applyBorder="1" applyAlignment="1">
      <alignment horizontal="left"/>
    </xf>
    <xf numFmtId="0" fontId="35" fillId="0" borderId="38" xfId="0" applyFont="1" applyBorder="1"/>
    <xf numFmtId="0" fontId="35" fillId="0" borderId="66" xfId="0" applyFont="1" applyBorder="1"/>
    <xf numFmtId="0" fontId="35" fillId="0" borderId="67" xfId="0" applyFont="1" applyBorder="1"/>
    <xf numFmtId="0" fontId="51" fillId="0" borderId="37" xfId="0" applyFont="1" applyBorder="1" applyAlignment="1">
      <alignment horizontal="left" wrapText="1"/>
    </xf>
    <xf numFmtId="0" fontId="35" fillId="0" borderId="39" xfId="0" applyFont="1" applyBorder="1"/>
    <xf numFmtId="0" fontId="37" fillId="0" borderId="37" xfId="0" applyFont="1" applyBorder="1" applyAlignment="1">
      <alignment horizontal="center" wrapText="1"/>
    </xf>
    <xf numFmtId="0" fontId="37" fillId="11" borderId="37" xfId="0" applyFont="1" applyFill="1" applyBorder="1" applyAlignment="1">
      <alignment horizontal="center"/>
    </xf>
    <xf numFmtId="0" fontId="37" fillId="11" borderId="36" xfId="0" applyFont="1" applyFill="1" applyBorder="1" applyAlignment="1">
      <alignment horizontal="center" vertical="center" wrapText="1"/>
    </xf>
    <xf numFmtId="0" fontId="35" fillId="0" borderId="40" xfId="0" applyFont="1" applyBorder="1"/>
    <xf numFmtId="0" fontId="49" fillId="11" borderId="36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distributed" wrapText="1" shrinkToFit="1" readingOrder="1"/>
    </xf>
    <xf numFmtId="0" fontId="53" fillId="16" borderId="48" xfId="0" applyFont="1" applyFill="1" applyBorder="1" applyAlignment="1">
      <alignment horizontal="left" vertical="center" wrapText="1"/>
    </xf>
    <xf numFmtId="0" fontId="53" fillId="16" borderId="49" xfId="0" applyFont="1" applyFill="1" applyBorder="1" applyAlignment="1">
      <alignment horizontal="left" vertical="center" wrapText="1"/>
    </xf>
    <xf numFmtId="0" fontId="47" fillId="13" borderId="49" xfId="0" applyFont="1" applyFill="1" applyBorder="1" applyAlignment="1">
      <alignment horizontal="left"/>
    </xf>
    <xf numFmtId="0" fontId="47" fillId="13" borderId="50" xfId="0" applyFont="1" applyFill="1" applyBorder="1" applyAlignment="1">
      <alignment horizontal="left"/>
    </xf>
    <xf numFmtId="0" fontId="57" fillId="0" borderId="0" xfId="0" applyFont="1" applyAlignment="1">
      <alignment horizontal="left" wrapText="1"/>
    </xf>
    <xf numFmtId="0" fontId="0" fillId="0" borderId="0" xfId="0"/>
    <xf numFmtId="0" fontId="58" fillId="0" borderId="0" xfId="0" applyFont="1" applyAlignment="1">
      <alignment horizontal="left" vertical="center" wrapText="1"/>
    </xf>
    <xf numFmtId="10" fontId="55" fillId="0" borderId="52" xfId="0" applyNumberFormat="1" applyFont="1" applyBorder="1" applyAlignment="1">
      <alignment horizontal="center" vertical="center"/>
    </xf>
    <xf numFmtId="0" fontId="47" fillId="0" borderId="53" xfId="0" applyFont="1" applyBorder="1"/>
    <xf numFmtId="0" fontId="47" fillId="0" borderId="56" xfId="0" applyFont="1" applyBorder="1"/>
    <xf numFmtId="0" fontId="52" fillId="15" borderId="48" xfId="0" applyFont="1" applyFill="1" applyBorder="1" applyAlignment="1">
      <alignment horizontal="left" vertical="center" wrapText="1"/>
    </xf>
    <xf numFmtId="0" fontId="52" fillId="15" borderId="49" xfId="0" applyFont="1" applyFill="1" applyBorder="1" applyAlignment="1">
      <alignment horizontal="left" vertical="center" wrapText="1"/>
    </xf>
    <xf numFmtId="0" fontId="47" fillId="0" borderId="49" xfId="0" applyFont="1" applyBorder="1" applyAlignment="1">
      <alignment horizontal="left"/>
    </xf>
    <xf numFmtId="0" fontId="47" fillId="0" borderId="50" xfId="0" applyFont="1" applyBorder="1" applyAlignment="1">
      <alignment horizontal="left"/>
    </xf>
    <xf numFmtId="0" fontId="56" fillId="5" borderId="0" xfId="0" applyFont="1" applyFill="1" applyAlignment="1">
      <alignment horizontal="left" vertical="center" wrapText="1"/>
    </xf>
    <xf numFmtId="0" fontId="0" fillId="5" borderId="0" xfId="0" applyFill="1"/>
    <xf numFmtId="0" fontId="61" fillId="0" borderId="58" xfId="0" applyFont="1" applyBorder="1" applyAlignment="1">
      <alignment horizontal="left" vertical="center" wrapText="1"/>
    </xf>
    <xf numFmtId="0" fontId="36" fillId="0" borderId="58" xfId="0" applyFont="1" applyBorder="1" applyAlignment="1">
      <alignment horizontal="left" vertical="center" wrapText="1"/>
    </xf>
    <xf numFmtId="0" fontId="21" fillId="0" borderId="58" xfId="0" applyFont="1" applyBorder="1" applyAlignment="1">
      <alignment horizontal="center"/>
    </xf>
    <xf numFmtId="0" fontId="61" fillId="0" borderId="58" xfId="0" applyFont="1" applyBorder="1" applyAlignment="1">
      <alignment horizontal="center"/>
    </xf>
    <xf numFmtId="0" fontId="61" fillId="0" borderId="58" xfId="0" applyFont="1" applyBorder="1" applyAlignment="1">
      <alignment vertical="center" wrapText="1"/>
    </xf>
    <xf numFmtId="0" fontId="22" fillId="0" borderId="0" xfId="0" applyFont="1" applyAlignment="1">
      <alignment horizontal="center"/>
    </xf>
    <xf numFmtId="0" fontId="19" fillId="0" borderId="0" xfId="0" applyFont="1" applyAlignment="1">
      <alignment horizontal="center" vertical="distributed" wrapText="1" shrinkToFit="1" readingOrder="1"/>
    </xf>
    <xf numFmtId="0" fontId="20" fillId="4" borderId="0" xfId="0" applyFont="1" applyFill="1" applyAlignment="1">
      <alignment horizontal="center" vertical="center" wrapText="1"/>
    </xf>
    <xf numFmtId="0" fontId="17" fillId="8" borderId="3" xfId="0" applyFont="1" applyFill="1" applyBorder="1" applyAlignment="1">
      <alignment horizontal="left" vertical="center" wrapText="1"/>
    </xf>
    <xf numFmtId="0" fontId="17" fillId="8" borderId="4" xfId="0" applyFont="1" applyFill="1" applyBorder="1" applyAlignment="1">
      <alignment horizontal="left" vertical="center" wrapText="1"/>
    </xf>
    <xf numFmtId="0" fontId="20" fillId="8" borderId="4" xfId="0" applyFont="1" applyFill="1" applyBorder="1" applyAlignment="1">
      <alignment horizontal="left" vertical="center" wrapText="1"/>
    </xf>
    <xf numFmtId="0" fontId="20" fillId="8" borderId="5" xfId="0" applyFont="1" applyFill="1" applyBorder="1" applyAlignment="1">
      <alignment horizontal="left" vertical="center" wrapText="1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20" fillId="4" borderId="7" xfId="0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center" vertical="center"/>
    </xf>
    <xf numFmtId="0" fontId="30" fillId="9" borderId="6" xfId="0" applyFont="1" applyFill="1" applyBorder="1" applyAlignment="1">
      <alignment horizontal="left" vertical="center" wrapText="1"/>
    </xf>
    <xf numFmtId="0" fontId="30" fillId="9" borderId="7" xfId="0" applyFont="1" applyFill="1" applyBorder="1" applyAlignment="1">
      <alignment horizontal="left" vertical="center" wrapText="1"/>
    </xf>
    <xf numFmtId="0" fontId="28" fillId="4" borderId="7" xfId="0" applyFont="1" applyFill="1" applyBorder="1" applyAlignment="1">
      <alignment horizontal="center" vertical="center"/>
    </xf>
    <xf numFmtId="0" fontId="28" fillId="4" borderId="8" xfId="0" applyFont="1" applyFill="1" applyBorder="1" applyAlignment="1">
      <alignment horizontal="center" vertical="center"/>
    </xf>
    <xf numFmtId="0" fontId="20" fillId="0" borderId="10" xfId="0" applyFont="1" applyBorder="1" applyAlignment="1" applyProtection="1">
      <alignment horizontal="left" vertical="center"/>
      <protection locked="0"/>
    </xf>
    <xf numFmtId="0" fontId="20" fillId="10" borderId="10" xfId="0" applyFont="1" applyFill="1" applyBorder="1" applyAlignment="1" applyProtection="1">
      <alignment horizontal="left" vertical="center"/>
      <protection locked="0"/>
    </xf>
    <xf numFmtId="0" fontId="18" fillId="0" borderId="10" xfId="0" applyFont="1" applyBorder="1" applyAlignment="1" applyProtection="1">
      <alignment horizontal="left" vertical="center"/>
      <protection locked="0"/>
    </xf>
    <xf numFmtId="0" fontId="18" fillId="0" borderId="10" xfId="0" applyFont="1" applyBorder="1" applyAlignment="1" applyProtection="1">
      <alignment horizontal="left" vertical="center" wrapText="1"/>
      <protection locked="0"/>
    </xf>
    <xf numFmtId="0" fontId="0" fillId="8" borderId="3" xfId="0" applyFill="1" applyBorder="1" applyAlignment="1">
      <alignment horizontal="left" vertical="center"/>
    </xf>
    <xf numFmtId="0" fontId="0" fillId="8" borderId="4" xfId="0" applyFill="1" applyBorder="1" applyAlignment="1">
      <alignment horizontal="left" vertical="center"/>
    </xf>
    <xf numFmtId="0" fontId="0" fillId="8" borderId="5" xfId="0" applyFill="1" applyBorder="1" applyAlignment="1">
      <alignment horizontal="left" vertical="center"/>
    </xf>
    <xf numFmtId="0" fontId="30" fillId="9" borderId="9" xfId="0" applyFont="1" applyFill="1" applyBorder="1" applyAlignment="1">
      <alignment horizontal="left" vertical="center" wrapText="1"/>
    </xf>
    <xf numFmtId="0" fontId="30" fillId="9" borderId="10" xfId="0" applyFont="1" applyFill="1" applyBorder="1" applyAlignment="1">
      <alignment horizontal="left" vertical="center" wrapText="1"/>
    </xf>
    <xf numFmtId="0" fontId="28" fillId="4" borderId="10" xfId="0" applyFont="1" applyFill="1" applyBorder="1" applyAlignment="1">
      <alignment horizontal="center" vertical="center"/>
    </xf>
    <xf numFmtId="0" fontId="28" fillId="4" borderId="11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0" fillId="10" borderId="10" xfId="0" applyFont="1" applyFill="1" applyBorder="1" applyAlignment="1" applyProtection="1">
      <alignment horizontal="left" vertical="center" wrapText="1"/>
      <protection locked="0"/>
    </xf>
    <xf numFmtId="0" fontId="34" fillId="8" borderId="10" xfId="0" applyFont="1" applyFill="1" applyBorder="1" applyAlignment="1">
      <alignment horizontal="left" vertical="center"/>
    </xf>
    <xf numFmtId="0" fontId="18" fillId="0" borderId="15" xfId="0" applyFont="1" applyBorder="1" applyAlignment="1" applyProtection="1">
      <alignment horizontal="left" vertical="center"/>
      <protection locked="0"/>
    </xf>
    <xf numFmtId="0" fontId="18" fillId="0" borderId="16" xfId="0" applyFont="1" applyBorder="1" applyAlignment="1" applyProtection="1">
      <alignment horizontal="left" vertical="center"/>
      <protection locked="0"/>
    </xf>
    <xf numFmtId="0" fontId="18" fillId="5" borderId="15" xfId="0" applyFont="1" applyFill="1" applyBorder="1" applyAlignment="1">
      <alignment horizontal="left" vertical="center" wrapText="1"/>
    </xf>
    <xf numFmtId="0" fontId="18" fillId="5" borderId="16" xfId="0" applyFont="1" applyFill="1" applyBorder="1" applyAlignment="1">
      <alignment horizontal="left" vertical="center" wrapText="1"/>
    </xf>
    <xf numFmtId="0" fontId="20" fillId="0" borderId="17" xfId="0" applyFont="1" applyBorder="1" applyAlignment="1" applyProtection="1">
      <alignment horizontal="left" vertical="center"/>
      <protection locked="0"/>
    </xf>
    <xf numFmtId="0" fontId="20" fillId="0" borderId="18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8" fillId="0" borderId="15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17" fillId="8" borderId="3" xfId="0" applyFont="1" applyFill="1" applyBorder="1" applyAlignment="1">
      <alignment horizontal="center" vertical="center"/>
    </xf>
    <xf numFmtId="0" fontId="17" fillId="8" borderId="4" xfId="0" applyFont="1" applyFill="1" applyBorder="1" applyAlignment="1">
      <alignment horizontal="center" vertical="center"/>
    </xf>
    <xf numFmtId="0" fontId="17" fillId="8" borderId="5" xfId="0" applyFont="1" applyFill="1" applyBorder="1" applyAlignment="1">
      <alignment horizontal="center" vertical="center"/>
    </xf>
    <xf numFmtId="0" fontId="20" fillId="10" borderId="12" xfId="0" applyFont="1" applyFill="1" applyBorder="1" applyAlignment="1" applyProtection="1">
      <alignment horizontal="center" vertical="center"/>
      <protection locked="0"/>
    </xf>
    <xf numFmtId="0" fontId="20" fillId="10" borderId="13" xfId="0" applyFont="1" applyFill="1" applyBorder="1" applyAlignment="1" applyProtection="1">
      <alignment horizontal="center" vertical="center"/>
      <protection locked="0"/>
    </xf>
    <xf numFmtId="0" fontId="20" fillId="10" borderId="14" xfId="0" applyFont="1" applyFill="1" applyBorder="1" applyAlignment="1" applyProtection="1">
      <alignment horizontal="center" vertical="center"/>
      <protection locked="0"/>
    </xf>
    <xf numFmtId="0" fontId="20" fillId="0" borderId="15" xfId="0" applyFont="1" applyBorder="1" applyAlignment="1" applyProtection="1">
      <alignment horizontal="left" vertical="center"/>
      <protection locked="0"/>
    </xf>
    <xf numFmtId="0" fontId="20" fillId="0" borderId="16" xfId="0" applyFont="1" applyBorder="1" applyAlignment="1" applyProtection="1">
      <alignment horizontal="left" vertical="center"/>
      <protection locked="0"/>
    </xf>
    <xf numFmtId="0" fontId="31" fillId="9" borderId="9" xfId="0" applyFont="1" applyFill="1" applyBorder="1" applyAlignment="1">
      <alignment horizontal="left" vertical="center" wrapText="1"/>
    </xf>
    <xf numFmtId="0" fontId="31" fillId="9" borderId="10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18" fillId="0" borderId="10" xfId="1" applyFont="1" applyBorder="1" applyAlignment="1">
      <alignment horizontal="left" vertical="center" wrapText="1"/>
    </xf>
    <xf numFmtId="0" fontId="20" fillId="10" borderId="19" xfId="0" applyFont="1" applyFill="1" applyBorder="1" applyAlignment="1" applyProtection="1">
      <alignment horizontal="left" vertical="center"/>
      <protection locked="0"/>
    </xf>
    <xf numFmtId="0" fontId="20" fillId="10" borderId="20" xfId="0" applyFont="1" applyFill="1" applyBorder="1" applyAlignment="1" applyProtection="1">
      <alignment horizontal="left" vertical="center"/>
      <protection locked="0"/>
    </xf>
    <xf numFmtId="0" fontId="20" fillId="10" borderId="21" xfId="0" applyFont="1" applyFill="1" applyBorder="1" applyAlignment="1" applyProtection="1">
      <alignment horizontal="left" vertical="center"/>
      <protection locked="0"/>
    </xf>
    <xf numFmtId="0" fontId="20" fillId="0" borderId="23" xfId="0" applyFont="1" applyBorder="1" applyAlignment="1">
      <alignment horizontal="left" vertical="center" wrapText="1"/>
    </xf>
    <xf numFmtId="0" fontId="20" fillId="0" borderId="24" xfId="0" applyFont="1" applyBorder="1" applyAlignment="1">
      <alignment horizontal="left" vertical="center" wrapText="1"/>
    </xf>
    <xf numFmtId="0" fontId="18" fillId="0" borderId="2" xfId="0" applyFont="1" applyBorder="1" applyAlignment="1" applyProtection="1">
      <alignment horizontal="left" vertical="center"/>
      <protection locked="0"/>
    </xf>
    <xf numFmtId="0" fontId="20" fillId="0" borderId="2" xfId="0" applyFont="1" applyBorder="1" applyAlignment="1" applyProtection="1">
      <alignment horizontal="left" vertical="center"/>
      <protection locked="0"/>
    </xf>
    <xf numFmtId="0" fontId="20" fillId="10" borderId="2" xfId="0" applyFont="1" applyFill="1" applyBorder="1" applyAlignment="1" applyProtection="1">
      <alignment horizontal="left" vertical="center"/>
      <protection locked="0"/>
    </xf>
    <xf numFmtId="0" fontId="18" fillId="4" borderId="23" xfId="0" applyFont="1" applyFill="1" applyBorder="1" applyAlignment="1">
      <alignment horizontal="left" vertical="center"/>
    </xf>
    <xf numFmtId="0" fontId="18" fillId="4" borderId="24" xfId="0" applyFont="1" applyFill="1" applyBorder="1" applyAlignment="1">
      <alignment horizontal="left" vertical="center"/>
    </xf>
    <xf numFmtId="0" fontId="20" fillId="0" borderId="27" xfId="0" applyFont="1" applyBorder="1" applyAlignment="1">
      <alignment horizontal="left" vertical="center" wrapText="1"/>
    </xf>
    <xf numFmtId="0" fontId="20" fillId="0" borderId="28" xfId="0" applyFont="1" applyBorder="1" applyAlignment="1">
      <alignment horizontal="left" vertical="center" wrapText="1"/>
    </xf>
    <xf numFmtId="0" fontId="20" fillId="2" borderId="0" xfId="0" applyFont="1" applyFill="1" applyAlignment="1">
      <alignment horizontal="center" vertical="center"/>
    </xf>
    <xf numFmtId="0" fontId="17" fillId="8" borderId="2" xfId="0" applyFont="1" applyFill="1" applyBorder="1" applyAlignment="1">
      <alignment horizontal="center" vertical="center"/>
    </xf>
    <xf numFmtId="0" fontId="20" fillId="0" borderId="2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0" fontId="18" fillId="0" borderId="2" xfId="0" applyFont="1" applyBorder="1" applyAlignment="1" applyProtection="1">
      <alignment horizontal="left" vertical="center" wrapText="1"/>
      <protection locked="0"/>
    </xf>
    <xf numFmtId="0" fontId="20" fillId="8" borderId="2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distributed" wrapText="1" shrinkToFit="1" readingOrder="1"/>
    </xf>
    <xf numFmtId="0" fontId="6" fillId="0" borderId="0" xfId="0" applyFont="1" applyAlignment="1">
      <alignment horizontal="center" vertical="center" wrapText="1"/>
    </xf>
    <xf numFmtId="0" fontId="20" fillId="2" borderId="1" xfId="0" applyFont="1" applyFill="1" applyBorder="1" applyAlignment="1">
      <alignment horizontal="center"/>
    </xf>
    <xf numFmtId="0" fontId="40" fillId="3" borderId="3" xfId="0" applyFont="1" applyFill="1" applyBorder="1" applyAlignment="1">
      <alignment horizontal="center" vertical="center" wrapText="1"/>
    </xf>
    <xf numFmtId="0" fontId="40" fillId="3" borderId="9" xfId="0" applyFont="1" applyFill="1" applyBorder="1" applyAlignment="1">
      <alignment horizontal="center" vertical="center" wrapText="1"/>
    </xf>
    <xf numFmtId="4" fontId="17" fillId="0" borderId="30" xfId="0" applyNumberFormat="1" applyFont="1" applyBorder="1" applyAlignment="1">
      <alignment horizontal="center" vertical="center" wrapText="1"/>
    </xf>
    <xf numFmtId="4" fontId="17" fillId="0" borderId="33" xfId="0" applyNumberFormat="1" applyFont="1" applyBorder="1" applyAlignment="1">
      <alignment horizontal="center" vertical="center" wrapText="1"/>
    </xf>
    <xf numFmtId="4" fontId="17" fillId="0" borderId="34" xfId="0" applyNumberFormat="1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72" fillId="0" borderId="0" xfId="0" applyFont="1"/>
    <xf numFmtId="4" fontId="46" fillId="0" borderId="10" xfId="0" applyNumberFormat="1" applyFont="1" applyBorder="1" applyAlignment="1">
      <alignment horizontal="center" vertical="center" wrapText="1"/>
    </xf>
    <xf numFmtId="43" fontId="35" fillId="0" borderId="10" xfId="7" applyFont="1" applyBorder="1" applyAlignment="1">
      <alignment horizontal="center" vertical="center"/>
    </xf>
    <xf numFmtId="0" fontId="72" fillId="0" borderId="0" xfId="0" applyFont="1" applyAlignment="1">
      <alignment horizontal="left"/>
    </xf>
    <xf numFmtId="0" fontId="66" fillId="19" borderId="10" xfId="0" applyFont="1" applyFill="1" applyBorder="1" applyAlignment="1">
      <alignment horizontal="center" vertical="center" wrapText="1"/>
    </xf>
    <xf numFmtId="0" fontId="28" fillId="18" borderId="10" xfId="0" applyFont="1" applyFill="1" applyBorder="1" applyAlignment="1">
      <alignment horizontal="center" vertical="center" wrapText="1"/>
    </xf>
    <xf numFmtId="0" fontId="66" fillId="18" borderId="10" xfId="0" applyFont="1" applyFill="1" applyBorder="1" applyAlignment="1">
      <alignment horizontal="center" vertical="center" wrapText="1"/>
    </xf>
    <xf numFmtId="0" fontId="65" fillId="10" borderId="63" xfId="0" applyFont="1" applyFill="1" applyBorder="1" applyAlignment="1">
      <alignment horizontal="center" vertical="center" wrapText="1"/>
    </xf>
    <xf numFmtId="0" fontId="65" fillId="10" borderId="32" xfId="0" applyFont="1" applyFill="1" applyBorder="1" applyAlignment="1">
      <alignment horizontal="center" vertical="center" wrapText="1"/>
    </xf>
    <xf numFmtId="0" fontId="65" fillId="10" borderId="64" xfId="0" applyFont="1" applyFill="1" applyBorder="1" applyAlignment="1">
      <alignment horizontal="center" vertical="center" wrapText="1"/>
    </xf>
    <xf numFmtId="0" fontId="65" fillId="10" borderId="33" xfId="0" applyFont="1" applyFill="1" applyBorder="1" applyAlignment="1">
      <alignment horizontal="center" vertical="center" wrapText="1"/>
    </xf>
    <xf numFmtId="0" fontId="65" fillId="10" borderId="4" xfId="0" applyFont="1" applyFill="1" applyBorder="1" applyAlignment="1">
      <alignment horizontal="center" vertical="center" wrapText="1"/>
    </xf>
    <xf numFmtId="0" fontId="65" fillId="10" borderId="65" xfId="0" applyFont="1" applyFill="1" applyBorder="1" applyAlignment="1">
      <alignment horizontal="center" vertical="center" wrapText="1"/>
    </xf>
    <xf numFmtId="0" fontId="65" fillId="10" borderId="13" xfId="0" applyFont="1" applyFill="1" applyBorder="1" applyAlignment="1">
      <alignment horizontal="center" vertical="center" wrapText="1"/>
    </xf>
    <xf numFmtId="0" fontId="65" fillId="10" borderId="14" xfId="0" applyFont="1" applyFill="1" applyBorder="1" applyAlignment="1">
      <alignment horizontal="center" vertical="center" wrapText="1"/>
    </xf>
    <xf numFmtId="0" fontId="73" fillId="0" borderId="0" xfId="0" applyFont="1" applyAlignment="1">
      <alignment horizontal="center" vertical="distributed" wrapText="1" shrinkToFit="1" readingOrder="1"/>
    </xf>
  </cellXfs>
  <cellStyles count="9">
    <cellStyle name="Moeda" xfId="8" builtinId="4"/>
    <cellStyle name="Moeda 2" xfId="2" xr:uid="{00000000-0005-0000-0000-000023000000}"/>
    <cellStyle name="Normal" xfId="0" builtinId="0"/>
    <cellStyle name="Normal 2" xfId="1" xr:uid="{00000000-0005-0000-0000-00000E000000}"/>
    <cellStyle name="Normal 2 2" xfId="6" xr:uid="{121AE307-B154-4E35-BD60-058867264236}"/>
    <cellStyle name="Normal 3" xfId="3" xr:uid="{00000000-0005-0000-0000-000033000000}"/>
    <cellStyle name="Normal 4" xfId="4" xr:uid="{00000000-0005-0000-0000-000034000000}"/>
    <cellStyle name="Normal 5" xfId="5" xr:uid="{0B02CFE8-57BC-4543-B879-2AB86B99AB4B}"/>
    <cellStyle name="Vírgula" xfId="7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eetMetadata" Target="metadata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Anexo IVC Detalhamento Postos'!A1"/><Relationship Id="rId3" Type="http://schemas.openxmlformats.org/officeDocument/2006/relationships/hyperlink" Target="#'An IIC Uniformes'!A1"/><Relationship Id="rId7" Type="http://schemas.openxmlformats.org/officeDocument/2006/relationships/hyperlink" Target="#'Anexo IVB Custos m2'!A1"/><Relationship Id="rId2" Type="http://schemas.openxmlformats.org/officeDocument/2006/relationships/hyperlink" Target="#'An IIB Relacao Equip'!A1"/><Relationship Id="rId1" Type="http://schemas.openxmlformats.org/officeDocument/2006/relationships/hyperlink" Target="#'An IIA Relacao Postos'!A1"/><Relationship Id="rId6" Type="http://schemas.openxmlformats.org/officeDocument/2006/relationships/hyperlink" Target="#'An IID Materiais'!A1"/><Relationship Id="rId5" Type="http://schemas.openxmlformats.org/officeDocument/2006/relationships/hyperlink" Target="#'Anexo IV-A Custos Final'!A1"/><Relationship Id="rId4" Type="http://schemas.openxmlformats.org/officeDocument/2006/relationships/hyperlink" Target="#'An III Custo Postos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'MENU PLANILHA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'MENU PLANILHA'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'MENU PLANILHA'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'MENU PLANILHA'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'MENU PLANILHA'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'MENU PLANILHA'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'MENU PLANILHA'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'MENU PLANILHA'!A1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2</xdr:col>
      <xdr:colOff>371475</xdr:colOff>
      <xdr:row>11</xdr:row>
      <xdr:rowOff>47625</xdr:rowOff>
    </xdr:to>
    <xdr:sp macro="" textlink="">
      <xdr:nvSpPr>
        <xdr:cNvPr id="2" name="Retângulo de cantos arredondados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1626870"/>
          <a:ext cx="2393315" cy="809625"/>
        </a:xfrm>
        <a:prstGeom prst="roundRect">
          <a:avLst/>
        </a:prstGeom>
        <a:ln w="53975">
          <a:solidFill>
            <a:schemeClr val="bg1"/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200" b="1">
              <a:latin typeface="Calibri" panose="020F0502020204030204" pitchFamily="34" charset="0"/>
              <a:cs typeface="Arial" panose="020B0604020202020204" pitchFamily="7" charset="0"/>
            </a:rPr>
            <a:t>Anexo</a:t>
          </a:r>
          <a:r>
            <a:rPr lang="pt-PT" sz="1200" b="1" baseline="0">
              <a:latin typeface="Calibri" panose="020F0502020204030204" pitchFamily="34" charset="0"/>
              <a:cs typeface="Arial" panose="020B0604020202020204" pitchFamily="7" charset="0"/>
            </a:rPr>
            <a:t> II A - Relação dos Postos (informativo)</a:t>
          </a:r>
          <a:endParaRPr lang="pt-PT" sz="1200" b="1">
            <a:latin typeface="Calibri" panose="020F0502020204030204" pitchFamily="34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2</xdr:col>
      <xdr:colOff>685800</xdr:colOff>
      <xdr:row>7</xdr:row>
      <xdr:rowOff>7620</xdr:rowOff>
    </xdr:from>
    <xdr:to>
      <xdr:col>4</xdr:col>
      <xdr:colOff>653415</xdr:colOff>
      <xdr:row>11</xdr:row>
      <xdr:rowOff>55245</xdr:rowOff>
    </xdr:to>
    <xdr:sp macro="" textlink="">
      <xdr:nvSpPr>
        <xdr:cNvPr id="3" name="Retângulo de cantos arredondado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707640" y="1634490"/>
          <a:ext cx="2390140" cy="809625"/>
        </a:xfrm>
        <a:prstGeom prst="roundRect">
          <a:avLst/>
        </a:prstGeom>
        <a:ln w="53975">
          <a:solidFill>
            <a:schemeClr val="bg1"/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200" b="1">
              <a:latin typeface="Calibri" panose="020F0502020204030204" pitchFamily="34" charset="0"/>
              <a:cs typeface="Arial" panose="020B0604020202020204" pitchFamily="7" charset="0"/>
            </a:rPr>
            <a:t>Anexo</a:t>
          </a:r>
          <a:r>
            <a:rPr lang="pt-PT" sz="1200" b="1" baseline="0">
              <a:latin typeface="Calibri" panose="020F0502020204030204" pitchFamily="34" charset="0"/>
              <a:cs typeface="Arial" panose="020B0604020202020204" pitchFamily="7" charset="0"/>
            </a:rPr>
            <a:t> II B - Relação dos Equipamentos (preenchimento licitante)</a:t>
          </a:r>
          <a:endParaRPr lang="pt-PT" sz="1200" b="1">
            <a:latin typeface="Calibri" panose="020F0502020204030204" pitchFamily="34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5</xdr:col>
      <xdr:colOff>114300</xdr:colOff>
      <xdr:row>7</xdr:row>
      <xdr:rowOff>0</xdr:rowOff>
    </xdr:from>
    <xdr:to>
      <xdr:col>9</xdr:col>
      <xdr:colOff>20955</xdr:colOff>
      <xdr:row>11</xdr:row>
      <xdr:rowOff>47625</xdr:rowOff>
    </xdr:to>
    <xdr:sp macro="" textlink="">
      <xdr:nvSpPr>
        <xdr:cNvPr id="5" name="Retângulo de cantos arredondado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532120" y="1592580"/>
          <a:ext cx="2451735" cy="779145"/>
        </a:xfrm>
        <a:prstGeom prst="roundRect">
          <a:avLst/>
        </a:prstGeom>
        <a:ln w="53975">
          <a:solidFill>
            <a:schemeClr val="bg1"/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200" b="1">
              <a:latin typeface="Calibri" panose="020F0502020204030204" pitchFamily="34" charset="0"/>
              <a:cs typeface="Arial" panose="020B0604020202020204" pitchFamily="7" charset="0"/>
            </a:rPr>
            <a:t>Anexo</a:t>
          </a:r>
          <a:r>
            <a:rPr lang="pt-PT" sz="1200" b="1" baseline="0">
              <a:latin typeface="Calibri" panose="020F0502020204030204" pitchFamily="34" charset="0"/>
              <a:cs typeface="Arial" panose="020B0604020202020204" pitchFamily="7" charset="0"/>
            </a:rPr>
            <a:t> II C - Relação </a:t>
          </a:r>
          <a:r>
            <a:rPr lang="pt-PT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dos Uniformes, EPIS (preenchimento licitante)</a:t>
          </a:r>
          <a:endParaRPr lang="pt-PT" sz="1200" b="1">
            <a:latin typeface="Calibri" panose="020F0502020204030204" pitchFamily="34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2</xdr:col>
      <xdr:colOff>685800</xdr:colOff>
      <xdr:row>12</xdr:row>
      <xdr:rowOff>144780</xdr:rowOff>
    </xdr:from>
    <xdr:to>
      <xdr:col>4</xdr:col>
      <xdr:colOff>657225</xdr:colOff>
      <xdr:row>16</xdr:row>
      <xdr:rowOff>177165</xdr:rowOff>
    </xdr:to>
    <xdr:sp macro="" textlink="">
      <xdr:nvSpPr>
        <xdr:cNvPr id="6" name="Retângulo de cantos arredondados 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705100" y="2716530"/>
          <a:ext cx="2390775" cy="803910"/>
        </a:xfrm>
        <a:prstGeom prst="roundRect">
          <a:avLst/>
        </a:prstGeom>
        <a:ln w="53975">
          <a:solidFill>
            <a:schemeClr val="bg1"/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200" b="1">
              <a:latin typeface="Calibri" panose="020F0502020204030204" pitchFamily="34" charset="0"/>
              <a:cs typeface="Arial" panose="020B0604020202020204" pitchFamily="7" charset="0"/>
            </a:rPr>
            <a:t>Anexo</a:t>
          </a:r>
          <a:r>
            <a:rPr lang="pt-PT" sz="1200" b="1" baseline="0">
              <a:latin typeface="Calibri" panose="020F0502020204030204" pitchFamily="34" charset="0"/>
              <a:cs typeface="Arial" panose="020B0604020202020204" pitchFamily="7" charset="0"/>
            </a:rPr>
            <a:t> III - Custo Postos Limpeza (preenchimento licitante)</a:t>
          </a:r>
          <a:endParaRPr lang="pt-PT" sz="1200" b="1">
            <a:latin typeface="Calibri" panose="020F0502020204030204" pitchFamily="34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5</xdr:col>
      <xdr:colOff>140970</xdr:colOff>
      <xdr:row>12</xdr:row>
      <xdr:rowOff>188595</xdr:rowOff>
    </xdr:from>
    <xdr:to>
      <xdr:col>9</xdr:col>
      <xdr:colOff>55245</xdr:colOff>
      <xdr:row>17</xdr:row>
      <xdr:rowOff>36195</xdr:rowOff>
    </xdr:to>
    <xdr:sp macro="" textlink="">
      <xdr:nvSpPr>
        <xdr:cNvPr id="15" name="Retângulo de cantos arredondados 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5398770" y="2760345"/>
          <a:ext cx="2381250" cy="809625"/>
        </a:xfrm>
        <a:prstGeom prst="roundRect">
          <a:avLst/>
        </a:prstGeom>
        <a:ln w="53975">
          <a:solidFill>
            <a:schemeClr val="bg1"/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200" b="1">
              <a:latin typeface="Calibri" panose="020F0502020204030204" pitchFamily="34" charset="0"/>
              <a:cs typeface="Arial" panose="020B0604020202020204" pitchFamily="7" charset="0"/>
            </a:rPr>
            <a:t>Anexo</a:t>
          </a:r>
          <a:r>
            <a:rPr lang="pt-PT" sz="1200" b="1" baseline="0">
              <a:latin typeface="Calibri" panose="020F0502020204030204" pitchFamily="34" charset="0"/>
              <a:cs typeface="Arial" panose="020B0604020202020204" pitchFamily="7" charset="0"/>
            </a:rPr>
            <a:t> IVA - Composição custos por postos (preenchimento licitante)</a:t>
          </a:r>
          <a:endParaRPr lang="pt-PT" sz="1200" b="1">
            <a:latin typeface="Calibri" panose="020F0502020204030204" pitchFamily="34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0</xdr:colOff>
      <xdr:row>12</xdr:row>
      <xdr:rowOff>133350</xdr:rowOff>
    </xdr:from>
    <xdr:to>
      <xdr:col>2</xdr:col>
      <xdr:colOff>354330</xdr:colOff>
      <xdr:row>16</xdr:row>
      <xdr:rowOff>171450</xdr:rowOff>
    </xdr:to>
    <xdr:sp macro="" textlink="">
      <xdr:nvSpPr>
        <xdr:cNvPr id="7" name="Retângulo de cantos arredondados 3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413237C-6DAE-402C-9225-7B6AC605E183}"/>
            </a:ext>
          </a:extLst>
        </xdr:cNvPr>
        <xdr:cNvSpPr/>
      </xdr:nvSpPr>
      <xdr:spPr>
        <a:xfrm>
          <a:off x="0" y="2705100"/>
          <a:ext cx="2373630" cy="809625"/>
        </a:xfrm>
        <a:prstGeom prst="roundRect">
          <a:avLst/>
        </a:prstGeom>
        <a:ln w="53975">
          <a:solidFill>
            <a:schemeClr val="bg1"/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200" b="1">
              <a:latin typeface="Calibri" panose="020F0502020204030204" pitchFamily="34" charset="0"/>
              <a:cs typeface="Arial" panose="020B0604020202020204" pitchFamily="7" charset="0"/>
            </a:rPr>
            <a:t>Anexo</a:t>
          </a:r>
          <a:r>
            <a:rPr lang="pt-PT" sz="1200" b="1" baseline="0">
              <a:latin typeface="Calibri" panose="020F0502020204030204" pitchFamily="34" charset="0"/>
              <a:cs typeface="Arial" panose="020B0604020202020204" pitchFamily="7" charset="0"/>
            </a:rPr>
            <a:t> II D - Relação </a:t>
          </a:r>
          <a:r>
            <a:rPr lang="pt-PT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dos Materiais (preenchimento licitante)</a:t>
          </a:r>
          <a:endParaRPr lang="pt-PT" sz="1200" b="1">
            <a:latin typeface="Calibri" panose="020F0502020204030204" pitchFamily="34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0</xdr:colOff>
      <xdr:row>17</xdr:row>
      <xdr:rowOff>179070</xdr:rowOff>
    </xdr:from>
    <xdr:to>
      <xdr:col>2</xdr:col>
      <xdr:colOff>361950</xdr:colOff>
      <xdr:row>22</xdr:row>
      <xdr:rowOff>36195</xdr:rowOff>
    </xdr:to>
    <xdr:sp macro="" textlink="">
      <xdr:nvSpPr>
        <xdr:cNvPr id="8" name="Retângulo de cantos arredondados 3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571C6E4-BB31-4ED1-B1CC-E0439B314469}"/>
            </a:ext>
          </a:extLst>
        </xdr:cNvPr>
        <xdr:cNvSpPr/>
      </xdr:nvSpPr>
      <xdr:spPr>
        <a:xfrm>
          <a:off x="0" y="3712845"/>
          <a:ext cx="2381250" cy="809625"/>
        </a:xfrm>
        <a:prstGeom prst="roundRect">
          <a:avLst/>
        </a:prstGeom>
        <a:ln w="53975">
          <a:solidFill>
            <a:schemeClr val="bg1"/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200" b="1">
              <a:latin typeface="Calibri" panose="020F0502020204030204" pitchFamily="34" charset="0"/>
              <a:cs typeface="Arial" panose="020B0604020202020204" pitchFamily="7" charset="0"/>
            </a:rPr>
            <a:t>Anexo</a:t>
          </a:r>
          <a:r>
            <a:rPr lang="pt-PT" sz="1200" b="1" baseline="0">
              <a:latin typeface="Calibri" panose="020F0502020204030204" pitchFamily="34" charset="0"/>
              <a:cs typeface="Arial" panose="020B0604020202020204" pitchFamily="7" charset="0"/>
            </a:rPr>
            <a:t> IVB - Composição custos m2 (preenchimento licitante)</a:t>
          </a:r>
          <a:endParaRPr lang="pt-PT" sz="1200" b="1">
            <a:latin typeface="Calibri" panose="020F0502020204030204" pitchFamily="34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2</xdr:col>
      <xdr:colOff>750570</xdr:colOff>
      <xdr:row>18</xdr:row>
      <xdr:rowOff>17145</xdr:rowOff>
    </xdr:from>
    <xdr:to>
      <xdr:col>4</xdr:col>
      <xdr:colOff>712470</xdr:colOff>
      <xdr:row>22</xdr:row>
      <xdr:rowOff>64770</xdr:rowOff>
    </xdr:to>
    <xdr:sp macro="" textlink="">
      <xdr:nvSpPr>
        <xdr:cNvPr id="9" name="Retângulo de cantos arredondados 3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711CFCAA-795C-49F2-B2CC-3F4590F9F035}"/>
            </a:ext>
          </a:extLst>
        </xdr:cNvPr>
        <xdr:cNvSpPr/>
      </xdr:nvSpPr>
      <xdr:spPr>
        <a:xfrm>
          <a:off x="2769870" y="3741420"/>
          <a:ext cx="2381250" cy="809625"/>
        </a:xfrm>
        <a:prstGeom prst="roundRect">
          <a:avLst/>
        </a:prstGeom>
        <a:ln w="53975">
          <a:solidFill>
            <a:schemeClr val="bg1"/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200" b="1">
              <a:latin typeface="Calibri" panose="020F0502020204030204" pitchFamily="34" charset="0"/>
              <a:cs typeface="Arial" panose="020B0604020202020204" pitchFamily="7" charset="0"/>
            </a:rPr>
            <a:t>Anexo</a:t>
          </a:r>
          <a:r>
            <a:rPr lang="pt-PT" sz="1200" b="1" baseline="0">
              <a:latin typeface="Calibri" panose="020F0502020204030204" pitchFamily="34" charset="0"/>
              <a:cs typeface="Arial" panose="020B0604020202020204" pitchFamily="7" charset="0"/>
            </a:rPr>
            <a:t> IVC - Detalhamento dos Postos (informativo)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2887132</xdr:colOff>
      <xdr:row>0</xdr:row>
      <xdr:rowOff>0</xdr:rowOff>
    </xdr:from>
    <xdr:to>
      <xdr:col>1</xdr:col>
      <xdr:colOff>4038276</xdr:colOff>
      <xdr:row>3</xdr:row>
      <xdr:rowOff>81218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77932" y="0"/>
          <a:ext cx="1151144" cy="73844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506730</xdr:colOff>
      <xdr:row>0</xdr:row>
      <xdr:rowOff>0</xdr:rowOff>
    </xdr:from>
    <xdr:to>
      <xdr:col>7</xdr:col>
      <xdr:colOff>577950</xdr:colOff>
      <xdr:row>3</xdr:row>
      <xdr:rowOff>81218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50405" y="0"/>
          <a:ext cx="1128495" cy="73844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307340</xdr:colOff>
      <xdr:row>0</xdr:row>
      <xdr:rowOff>0</xdr:rowOff>
    </xdr:from>
    <xdr:to>
      <xdr:col>6</xdr:col>
      <xdr:colOff>483335</xdr:colOff>
      <xdr:row>3</xdr:row>
      <xdr:rowOff>81218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81090" y="0"/>
          <a:ext cx="1112620" cy="74796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196215</xdr:colOff>
      <xdr:row>0</xdr:row>
      <xdr:rowOff>0</xdr:rowOff>
    </xdr:from>
    <xdr:to>
      <xdr:col>3</xdr:col>
      <xdr:colOff>629385</xdr:colOff>
      <xdr:row>3</xdr:row>
      <xdr:rowOff>81218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0A6328F-B0CA-40CE-83ED-6EB02CE937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82515" y="0"/>
          <a:ext cx="1109445" cy="74796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150495</xdr:colOff>
      <xdr:row>0</xdr:row>
      <xdr:rowOff>0</xdr:rowOff>
    </xdr:from>
    <xdr:to>
      <xdr:col>6</xdr:col>
      <xdr:colOff>31215</xdr:colOff>
      <xdr:row>3</xdr:row>
      <xdr:rowOff>157418</xdr:rowOff>
    </xdr:to>
    <xdr:pic>
      <xdr:nvPicPr>
        <xdr:cNvPr id="3" name="Imagem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88A7C66-CC7D-4B35-8AC3-F9484A3C13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75420" y="0"/>
          <a:ext cx="1103095" cy="82416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100965</xdr:colOff>
      <xdr:row>0</xdr:row>
      <xdr:rowOff>0</xdr:rowOff>
    </xdr:from>
    <xdr:to>
      <xdr:col>6</xdr:col>
      <xdr:colOff>1009650</xdr:colOff>
      <xdr:row>2</xdr:row>
      <xdr:rowOff>180910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82765" y="0"/>
          <a:ext cx="908685" cy="60001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111125</xdr:colOff>
      <xdr:row>0</xdr:row>
      <xdr:rowOff>0</xdr:rowOff>
    </xdr:from>
    <xdr:to>
      <xdr:col>5</xdr:col>
      <xdr:colOff>1019810</xdr:colOff>
      <xdr:row>2</xdr:row>
      <xdr:rowOff>180910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BF35D1A-95AB-4461-9A5E-DB84D8BCA9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15000" y="0"/>
          <a:ext cx="908685" cy="59366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548640</xdr:colOff>
      <xdr:row>0</xdr:row>
      <xdr:rowOff>0</xdr:rowOff>
    </xdr:from>
    <xdr:to>
      <xdr:col>9</xdr:col>
      <xdr:colOff>542925</xdr:colOff>
      <xdr:row>2</xdr:row>
      <xdr:rowOff>180910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13665BE-B8CB-446B-911B-071BDF24EE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21040" y="0"/>
          <a:ext cx="908685" cy="6000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5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10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"/>
  <sheetViews>
    <sheetView zoomScaleNormal="100" workbookViewId="0">
      <selection activeCell="A2" sqref="A2:J2"/>
    </sheetView>
  </sheetViews>
  <sheetFormatPr defaultColWidth="8.85546875" defaultRowHeight="15"/>
  <cols>
    <col min="2" max="2" width="21.42578125" customWidth="1"/>
    <col min="3" max="3" width="17.28515625" customWidth="1"/>
    <col min="4" max="4" width="19" customWidth="1"/>
    <col min="5" max="5" width="12.28515625" customWidth="1"/>
    <col min="6" max="6" width="8.42578125" customWidth="1"/>
    <col min="7" max="7" width="10.85546875" customWidth="1"/>
  </cols>
  <sheetData>
    <row r="1" spans="1:14" ht="18" customHeight="1">
      <c r="A1" s="309" t="s">
        <v>0</v>
      </c>
      <c r="B1" s="309"/>
      <c r="C1" s="309"/>
      <c r="D1" s="309"/>
      <c r="E1" s="309"/>
      <c r="F1" s="309"/>
      <c r="G1" s="309"/>
      <c r="H1" s="309"/>
      <c r="I1" s="309"/>
      <c r="J1" s="309"/>
      <c r="K1" s="5"/>
      <c r="L1" s="5"/>
      <c r="M1" s="5"/>
      <c r="N1" s="5"/>
    </row>
    <row r="2" spans="1:14" ht="18.75">
      <c r="A2" s="310" t="s">
        <v>1</v>
      </c>
      <c r="B2" s="310"/>
      <c r="C2" s="310"/>
      <c r="D2" s="310"/>
      <c r="E2" s="310"/>
      <c r="F2" s="310"/>
      <c r="G2" s="310"/>
      <c r="H2" s="310"/>
      <c r="I2" s="310"/>
      <c r="J2" s="310"/>
      <c r="K2" s="6"/>
      <c r="L2" s="6"/>
      <c r="M2" s="6"/>
      <c r="N2" s="6"/>
    </row>
    <row r="4" spans="1:14" ht="14.45" customHeight="1">
      <c r="A4" s="307"/>
      <c r="B4" s="307"/>
      <c r="C4" s="307"/>
      <c r="D4" s="307"/>
      <c r="E4" s="307"/>
      <c r="F4" s="307"/>
      <c r="G4" s="307"/>
      <c r="H4" s="3"/>
    </row>
    <row r="5" spans="1:14" ht="31.9" customHeight="1">
      <c r="A5" s="308" t="s">
        <v>124</v>
      </c>
      <c r="B5" s="308"/>
      <c r="C5" s="308"/>
      <c r="D5" s="308"/>
      <c r="E5" s="308"/>
      <c r="F5" s="308"/>
      <c r="G5" s="308"/>
      <c r="H5" s="308"/>
      <c r="I5" s="308"/>
      <c r="J5" s="308"/>
      <c r="K5" s="7"/>
      <c r="L5" s="7"/>
      <c r="M5" s="7"/>
      <c r="N5" s="7"/>
    </row>
    <row r="16" spans="1:14" ht="15.75">
      <c r="E16" s="12" t="s">
        <v>2</v>
      </c>
    </row>
  </sheetData>
  <mergeCells count="4">
    <mergeCell ref="A4:G4"/>
    <mergeCell ref="A5:J5"/>
    <mergeCell ref="A1:J1"/>
    <mergeCell ref="A2:J2"/>
  </mergeCells>
  <pageMargins left="0.511811024" right="0.511811024" top="0.78740157499999996" bottom="0.78740157499999996" header="0.31496062000000002" footer="0.31496062000000002"/>
  <pageSetup paperSize="9" scale="84" orientation="landscape" r:id="rId1"/>
  <headerFooter>
    <oddHeader>&amp;L&amp;G&amp;CProcesso 23069.170673/2021-70
PE 32/2022&amp;R&amp;G</oddHeader>
    <oddFooter>&amp;L&amp;"-,Itálico"&amp;9&amp;A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90"/>
  <sheetViews>
    <sheetView zoomScaleNormal="100" zoomScaleSheetLayoutView="90" workbookViewId="0">
      <selection sqref="A1:B1"/>
    </sheetView>
  </sheetViews>
  <sheetFormatPr defaultColWidth="9" defaultRowHeight="15"/>
  <cols>
    <col min="1" max="1" width="38.85546875" customWidth="1"/>
    <col min="2" max="2" width="63.7109375" customWidth="1"/>
  </cols>
  <sheetData>
    <row r="1" spans="1:3" ht="18" customHeight="1">
      <c r="A1" s="313" t="s">
        <v>0</v>
      </c>
      <c r="B1" s="313"/>
    </row>
    <row r="2" spans="1:3" ht="18.75">
      <c r="A2" s="310" t="s">
        <v>1</v>
      </c>
      <c r="B2" s="310"/>
    </row>
    <row r="4" spans="1:3" ht="14.45" customHeight="1">
      <c r="A4" s="314" t="s">
        <v>3</v>
      </c>
      <c r="B4" s="314"/>
      <c r="C4" s="3"/>
    </row>
    <row r="5" spans="1:3" ht="55.9" customHeight="1">
      <c r="A5" s="308" t="s">
        <v>124</v>
      </c>
      <c r="B5" s="315"/>
      <c r="C5" s="4"/>
    </row>
    <row r="7" spans="1:3">
      <c r="B7" s="21"/>
    </row>
    <row r="8" spans="1:3">
      <c r="A8" s="316" t="s">
        <v>155</v>
      </c>
      <c r="B8" s="316"/>
    </row>
    <row r="9" spans="1:3">
      <c r="A9" s="127" t="s">
        <v>269</v>
      </c>
      <c r="B9" s="127" t="s">
        <v>156</v>
      </c>
    </row>
    <row r="10" spans="1:3">
      <c r="A10" s="127" t="s">
        <v>157</v>
      </c>
      <c r="B10" s="127" t="s">
        <v>158</v>
      </c>
    </row>
    <row r="11" spans="1:3">
      <c r="A11" s="128" t="s">
        <v>159</v>
      </c>
      <c r="B11" s="311" t="s">
        <v>160</v>
      </c>
    </row>
    <row r="12" spans="1:3">
      <c r="A12" s="128" t="s">
        <v>161</v>
      </c>
      <c r="B12" s="311"/>
    </row>
    <row r="13" spans="1:3">
      <c r="A13" s="128" t="s">
        <v>162</v>
      </c>
      <c r="B13" s="311"/>
    </row>
    <row r="14" spans="1:3">
      <c r="A14" s="128" t="s">
        <v>163</v>
      </c>
      <c r="B14" s="311"/>
    </row>
    <row r="15" spans="1:3">
      <c r="A15" s="128" t="s">
        <v>164</v>
      </c>
      <c r="B15" s="311"/>
    </row>
    <row r="16" spans="1:3">
      <c r="A16" s="128" t="s">
        <v>165</v>
      </c>
      <c r="B16" s="311"/>
    </row>
    <row r="17" spans="1:2">
      <c r="A17" s="128" t="s">
        <v>166</v>
      </c>
      <c r="B17" s="311"/>
    </row>
    <row r="18" spans="1:2">
      <c r="A18" s="128" t="s">
        <v>167</v>
      </c>
      <c r="B18" s="311"/>
    </row>
    <row r="19" spans="1:2">
      <c r="A19" s="128" t="s">
        <v>168</v>
      </c>
      <c r="B19" s="311"/>
    </row>
    <row r="20" spans="1:2">
      <c r="A20" s="128" t="s">
        <v>169</v>
      </c>
      <c r="B20" s="129" t="s">
        <v>160</v>
      </c>
    </row>
    <row r="21" spans="1:2">
      <c r="A21" s="128" t="s">
        <v>170</v>
      </c>
      <c r="B21" s="312" t="s">
        <v>160</v>
      </c>
    </row>
    <row r="22" spans="1:2">
      <c r="A22" s="128" t="s">
        <v>171</v>
      </c>
      <c r="B22" s="312"/>
    </row>
    <row r="23" spans="1:2">
      <c r="A23" s="128" t="s">
        <v>172</v>
      </c>
      <c r="B23" s="312"/>
    </row>
    <row r="24" spans="1:2">
      <c r="A24" s="128" t="s">
        <v>173</v>
      </c>
      <c r="B24" s="312"/>
    </row>
    <row r="25" spans="1:2">
      <c r="A25" s="128" t="s">
        <v>174</v>
      </c>
      <c r="B25" s="129" t="s">
        <v>175</v>
      </c>
    </row>
    <row r="26" spans="1:2">
      <c r="A26" s="128" t="s">
        <v>176</v>
      </c>
      <c r="B26" s="311" t="s">
        <v>160</v>
      </c>
    </row>
    <row r="27" spans="1:2">
      <c r="A27" s="128" t="s">
        <v>177</v>
      </c>
      <c r="B27" s="311"/>
    </row>
    <row r="28" spans="1:2" ht="25.5">
      <c r="A28" s="128" t="s">
        <v>178</v>
      </c>
      <c r="B28" s="311"/>
    </row>
    <row r="29" spans="1:2">
      <c r="A29" s="127" t="s">
        <v>179</v>
      </c>
      <c r="B29" s="127" t="s">
        <v>180</v>
      </c>
    </row>
    <row r="30" spans="1:2">
      <c r="A30" s="129" t="s">
        <v>181</v>
      </c>
      <c r="B30" s="311" t="s">
        <v>182</v>
      </c>
    </row>
    <row r="31" spans="1:2">
      <c r="A31" s="129" t="s">
        <v>183</v>
      </c>
      <c r="B31" s="311"/>
    </row>
    <row r="32" spans="1:2">
      <c r="A32" s="129" t="s">
        <v>184</v>
      </c>
      <c r="B32" s="311"/>
    </row>
    <row r="33" spans="1:2" ht="25.5">
      <c r="A33" s="129" t="s">
        <v>185</v>
      </c>
      <c r="B33" s="311"/>
    </row>
    <row r="34" spans="1:2">
      <c r="A34" s="129" t="s">
        <v>186</v>
      </c>
      <c r="B34" s="311"/>
    </row>
    <row r="35" spans="1:2">
      <c r="A35" s="129" t="s">
        <v>187</v>
      </c>
      <c r="B35" s="311"/>
    </row>
    <row r="36" spans="1:2">
      <c r="A36" s="129" t="s">
        <v>188</v>
      </c>
      <c r="B36" s="311"/>
    </row>
    <row r="37" spans="1:2" ht="25.5">
      <c r="A37" s="129" t="s">
        <v>189</v>
      </c>
      <c r="B37" s="311" t="s">
        <v>180</v>
      </c>
    </row>
    <row r="38" spans="1:2" ht="25.5">
      <c r="A38" s="129" t="s">
        <v>190</v>
      </c>
      <c r="B38" s="311"/>
    </row>
    <row r="39" spans="1:2" ht="25.5">
      <c r="A39" s="129" t="s">
        <v>191</v>
      </c>
      <c r="B39" s="311"/>
    </row>
    <row r="40" spans="1:2">
      <c r="A40" s="129" t="s">
        <v>192</v>
      </c>
      <c r="B40" s="311" t="s">
        <v>180</v>
      </c>
    </row>
    <row r="41" spans="1:2">
      <c r="A41" s="129" t="s">
        <v>193</v>
      </c>
      <c r="B41" s="311"/>
    </row>
    <row r="42" spans="1:2">
      <c r="A42" s="129" t="s">
        <v>194</v>
      </c>
      <c r="B42" s="311" t="s">
        <v>195</v>
      </c>
    </row>
    <row r="43" spans="1:2">
      <c r="A43" s="129" t="s">
        <v>553</v>
      </c>
      <c r="B43" s="311"/>
    </row>
    <row r="44" spans="1:2">
      <c r="A44" s="129" t="s">
        <v>196</v>
      </c>
      <c r="B44" s="311"/>
    </row>
    <row r="45" spans="1:2">
      <c r="A45" s="129" t="s">
        <v>197</v>
      </c>
      <c r="B45" s="311"/>
    </row>
    <row r="46" spans="1:2">
      <c r="A46" s="129" t="s">
        <v>198</v>
      </c>
      <c r="B46" s="311" t="s">
        <v>195</v>
      </c>
    </row>
    <row r="47" spans="1:2">
      <c r="A47" s="129" t="s">
        <v>199</v>
      </c>
      <c r="B47" s="311"/>
    </row>
    <row r="48" spans="1:2">
      <c r="A48" s="129" t="s">
        <v>200</v>
      </c>
      <c r="B48" s="311" t="s">
        <v>195</v>
      </c>
    </row>
    <row r="49" spans="1:2">
      <c r="A49" s="130" t="s">
        <v>201</v>
      </c>
      <c r="B49" s="311"/>
    </row>
    <row r="50" spans="1:2">
      <c r="A50" s="129" t="s">
        <v>202</v>
      </c>
      <c r="B50" s="311"/>
    </row>
    <row r="51" spans="1:2">
      <c r="A51" s="129" t="s">
        <v>268</v>
      </c>
      <c r="B51" s="127" t="s">
        <v>195</v>
      </c>
    </row>
    <row r="52" spans="1:2">
      <c r="A52" s="129" t="s">
        <v>203</v>
      </c>
      <c r="B52" s="129" t="s">
        <v>182</v>
      </c>
    </row>
    <row r="53" spans="1:2">
      <c r="A53" s="129" t="s">
        <v>204</v>
      </c>
      <c r="B53" s="129" t="s">
        <v>195</v>
      </c>
    </row>
    <row r="54" spans="1:2">
      <c r="A54" s="127" t="s">
        <v>205</v>
      </c>
      <c r="B54" s="127" t="s">
        <v>206</v>
      </c>
    </row>
    <row r="55" spans="1:2">
      <c r="A55" s="127" t="s">
        <v>207</v>
      </c>
      <c r="B55" s="129" t="s">
        <v>156</v>
      </c>
    </row>
    <row r="56" spans="1:2">
      <c r="A56" s="129" t="s">
        <v>208</v>
      </c>
      <c r="B56" s="129" t="s">
        <v>182</v>
      </c>
    </row>
    <row r="57" spans="1:2">
      <c r="A57" s="127" t="s">
        <v>209</v>
      </c>
      <c r="B57" s="127" t="s">
        <v>210</v>
      </c>
    </row>
    <row r="58" spans="1:2">
      <c r="A58" s="129" t="s">
        <v>211</v>
      </c>
      <c r="B58" s="127" t="s">
        <v>212</v>
      </c>
    </row>
    <row r="59" spans="1:2">
      <c r="A59" s="129" t="s">
        <v>213</v>
      </c>
      <c r="B59" s="127" t="s">
        <v>214</v>
      </c>
    </row>
    <row r="60" spans="1:2">
      <c r="A60" s="129" t="s">
        <v>215</v>
      </c>
      <c r="B60" s="127" t="s">
        <v>216</v>
      </c>
    </row>
    <row r="61" spans="1:2">
      <c r="A61" s="129" t="s">
        <v>217</v>
      </c>
      <c r="B61" s="127" t="s">
        <v>218</v>
      </c>
    </row>
    <row r="62" spans="1:2">
      <c r="A62" s="129" t="s">
        <v>219</v>
      </c>
      <c r="B62" s="127" t="s">
        <v>220</v>
      </c>
    </row>
    <row r="63" spans="1:2">
      <c r="A63" s="129" t="s">
        <v>221</v>
      </c>
      <c r="B63" s="127" t="s">
        <v>206</v>
      </c>
    </row>
    <row r="64" spans="1:2">
      <c r="A64" s="127" t="s">
        <v>222</v>
      </c>
      <c r="B64" s="127" t="s">
        <v>223</v>
      </c>
    </row>
    <row r="65" spans="1:2">
      <c r="A65" s="129" t="s">
        <v>224</v>
      </c>
      <c r="B65" s="127" t="s">
        <v>225</v>
      </c>
    </row>
    <row r="66" spans="1:2">
      <c r="A66" s="129" t="s">
        <v>226</v>
      </c>
      <c r="B66" s="127" t="s">
        <v>227</v>
      </c>
    </row>
    <row r="67" spans="1:2">
      <c r="A67" s="129" t="s">
        <v>228</v>
      </c>
      <c r="B67" s="127" t="s">
        <v>229</v>
      </c>
    </row>
    <row r="68" spans="1:2">
      <c r="A68" s="129" t="s">
        <v>230</v>
      </c>
      <c r="B68" s="127" t="s">
        <v>231</v>
      </c>
    </row>
    <row r="69" spans="1:2">
      <c r="A69" s="129" t="s">
        <v>232</v>
      </c>
      <c r="B69" s="127" t="s">
        <v>233</v>
      </c>
    </row>
    <row r="70" spans="1:2">
      <c r="A70" s="129" t="s">
        <v>234</v>
      </c>
      <c r="B70" s="127" t="s">
        <v>235</v>
      </c>
    </row>
    <row r="71" spans="1:2">
      <c r="A71" s="129" t="s">
        <v>236</v>
      </c>
      <c r="B71" s="127" t="s">
        <v>180</v>
      </c>
    </row>
    <row r="72" spans="1:2">
      <c r="A72" s="129" t="s">
        <v>237</v>
      </c>
      <c r="B72" s="127" t="s">
        <v>180</v>
      </c>
    </row>
    <row r="73" spans="1:2">
      <c r="A73" s="129" t="s">
        <v>238</v>
      </c>
      <c r="B73" s="127" t="s">
        <v>195</v>
      </c>
    </row>
    <row r="74" spans="1:2">
      <c r="A74" s="127" t="s">
        <v>239</v>
      </c>
      <c r="B74" s="127" t="s">
        <v>240</v>
      </c>
    </row>
    <row r="75" spans="1:2" ht="25.5">
      <c r="A75" s="127" t="s">
        <v>241</v>
      </c>
      <c r="B75" s="127" t="s">
        <v>242</v>
      </c>
    </row>
    <row r="76" spans="1:2" ht="25.5">
      <c r="A76" s="127" t="s">
        <v>243</v>
      </c>
      <c r="B76" s="127" t="s">
        <v>244</v>
      </c>
    </row>
    <row r="77" spans="1:2">
      <c r="A77" s="127" t="s">
        <v>245</v>
      </c>
      <c r="B77" s="127" t="s">
        <v>210</v>
      </c>
    </row>
    <row r="78" spans="1:2">
      <c r="A78" s="127" t="s">
        <v>246</v>
      </c>
      <c r="B78" s="127" t="s">
        <v>210</v>
      </c>
    </row>
    <row r="79" spans="1:2" ht="25.5">
      <c r="A79" s="127" t="s">
        <v>247</v>
      </c>
      <c r="B79" s="127" t="s">
        <v>210</v>
      </c>
    </row>
    <row r="80" spans="1:2">
      <c r="A80" s="127" t="s">
        <v>248</v>
      </c>
      <c r="B80" s="127" t="s">
        <v>249</v>
      </c>
    </row>
    <row r="81" spans="1:2">
      <c r="A81" s="127" t="s">
        <v>250</v>
      </c>
      <c r="B81" s="127" t="s">
        <v>251</v>
      </c>
    </row>
    <row r="82" spans="1:2">
      <c r="A82" s="129" t="s">
        <v>252</v>
      </c>
      <c r="B82" s="311" t="s">
        <v>253</v>
      </c>
    </row>
    <row r="83" spans="1:2">
      <c r="A83" s="129" t="s">
        <v>254</v>
      </c>
      <c r="B83" s="311"/>
    </row>
    <row r="84" spans="1:2">
      <c r="A84" s="127" t="s">
        <v>255</v>
      </c>
      <c r="B84" s="127" t="s">
        <v>256</v>
      </c>
    </row>
    <row r="85" spans="1:2">
      <c r="A85" s="127" t="s">
        <v>257</v>
      </c>
      <c r="B85" s="127" t="s">
        <v>258</v>
      </c>
    </row>
    <row r="86" spans="1:2" ht="25.5">
      <c r="A86" s="127" t="s">
        <v>259</v>
      </c>
      <c r="B86" s="127" t="s">
        <v>260</v>
      </c>
    </row>
    <row r="87" spans="1:2" ht="30" customHeight="1">
      <c r="A87" s="127" t="s">
        <v>261</v>
      </c>
      <c r="B87" s="127" t="s">
        <v>262</v>
      </c>
    </row>
    <row r="88" spans="1:2" ht="27" customHeight="1">
      <c r="A88" s="127" t="s">
        <v>263</v>
      </c>
      <c r="B88" s="127" t="s">
        <v>262</v>
      </c>
    </row>
    <row r="89" spans="1:2">
      <c r="A89" s="127" t="s">
        <v>264</v>
      </c>
      <c r="B89" s="127" t="s">
        <v>265</v>
      </c>
    </row>
    <row r="90" spans="1:2">
      <c r="A90" s="129" t="s">
        <v>266</v>
      </c>
      <c r="B90" s="127" t="s">
        <v>267</v>
      </c>
    </row>
  </sheetData>
  <mergeCells count="15">
    <mergeCell ref="B48:B50"/>
    <mergeCell ref="B82:B83"/>
    <mergeCell ref="B30:B36"/>
    <mergeCell ref="B37:B39"/>
    <mergeCell ref="B40:B41"/>
    <mergeCell ref="B42:B45"/>
    <mergeCell ref="B46:B47"/>
    <mergeCell ref="B11:B19"/>
    <mergeCell ref="B21:B24"/>
    <mergeCell ref="B26:B28"/>
    <mergeCell ref="A1:B1"/>
    <mergeCell ref="A2:B2"/>
    <mergeCell ref="A4:B4"/>
    <mergeCell ref="A5:B5"/>
    <mergeCell ref="A8:B8"/>
  </mergeCells>
  <pageMargins left="0.511811024" right="0.511811024" top="0.78740157499999996" bottom="0.78740157499999996" header="0.31496062000000002" footer="0.31496062000000002"/>
  <pageSetup paperSize="9" scale="82" orientation="portrait" r:id="rId1"/>
  <headerFooter>
    <oddHeader>&amp;L&amp;G&amp;CProcesso 23069.170673/2021-70
PE 32/2022&amp;R&amp;G</oddHeader>
    <oddFooter>&amp;L&amp;"-,Itálico"&amp;10&amp;A</oddFooter>
  </headerFooter>
  <colBreaks count="1" manualBreakCount="1">
    <brk id="3" max="1048575" man="1"/>
  </colBreaks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66"/>
  <sheetViews>
    <sheetView topLeftCell="A3" zoomScaleNormal="100" workbookViewId="0">
      <selection activeCell="D3" sqref="D3"/>
    </sheetView>
  </sheetViews>
  <sheetFormatPr defaultColWidth="9" defaultRowHeight="15"/>
  <cols>
    <col min="1" max="1" width="4.7109375" bestFit="1" customWidth="1"/>
    <col min="2" max="2" width="35.28515625" customWidth="1"/>
    <col min="3" max="3" width="10.85546875" bestFit="1" customWidth="1"/>
    <col min="4" max="4" width="20" customWidth="1"/>
    <col min="5" max="5" width="14" bestFit="1" customWidth="1"/>
    <col min="6" max="6" width="13.28515625" bestFit="1" customWidth="1"/>
    <col min="7" max="7" width="15.85546875" bestFit="1" customWidth="1"/>
    <col min="8" max="8" width="18.42578125" bestFit="1" customWidth="1"/>
  </cols>
  <sheetData>
    <row r="1" spans="1:8" ht="18" customHeight="1">
      <c r="A1" s="313" t="s">
        <v>0</v>
      </c>
      <c r="B1" s="313"/>
      <c r="C1" s="313"/>
      <c r="D1" s="313"/>
      <c r="E1" s="313"/>
      <c r="F1" s="313"/>
      <c r="G1" s="313"/>
      <c r="H1" s="313"/>
    </row>
    <row r="2" spans="1:8" ht="18.75">
      <c r="A2" s="310" t="s">
        <v>1</v>
      </c>
      <c r="B2" s="310"/>
      <c r="C2" s="310"/>
      <c r="D2" s="310"/>
      <c r="E2" s="310"/>
      <c r="F2" s="310"/>
      <c r="G2" s="310"/>
      <c r="H2" s="310"/>
    </row>
    <row r="4" spans="1:8" ht="14.45" customHeight="1">
      <c r="A4" s="314" t="s">
        <v>5</v>
      </c>
      <c r="B4" s="314"/>
      <c r="C4" s="314"/>
      <c r="D4" s="314"/>
      <c r="E4" s="314"/>
      <c r="F4" s="314"/>
      <c r="G4" s="314"/>
      <c r="H4" s="314"/>
    </row>
    <row r="5" spans="1:8" ht="38.450000000000003" customHeight="1">
      <c r="A5" s="315" t="s">
        <v>124</v>
      </c>
      <c r="B5" s="315"/>
      <c r="C5" s="315"/>
      <c r="D5" s="315"/>
      <c r="E5" s="315"/>
      <c r="F5" s="315"/>
      <c r="G5" s="315"/>
      <c r="H5" s="315"/>
    </row>
    <row r="7" spans="1:8">
      <c r="A7" s="344" t="s">
        <v>6</v>
      </c>
      <c r="B7" s="346" t="s">
        <v>296</v>
      </c>
      <c r="C7" s="344" t="s">
        <v>297</v>
      </c>
      <c r="D7" s="344" t="s">
        <v>298</v>
      </c>
      <c r="E7" s="344" t="s">
        <v>299</v>
      </c>
      <c r="F7" s="343" t="s">
        <v>9</v>
      </c>
      <c r="G7" s="337"/>
      <c r="H7" s="341"/>
    </row>
    <row r="8" spans="1:8" ht="26.25">
      <c r="A8" s="345"/>
      <c r="B8" s="345"/>
      <c r="C8" s="345"/>
      <c r="D8" s="345"/>
      <c r="E8" s="345"/>
      <c r="F8" s="164" t="s">
        <v>10</v>
      </c>
      <c r="G8" s="165" t="s">
        <v>300</v>
      </c>
      <c r="H8" s="165" t="s">
        <v>301</v>
      </c>
    </row>
    <row r="9" spans="1:8">
      <c r="A9" s="166">
        <v>1</v>
      </c>
      <c r="B9" s="167" t="s">
        <v>302</v>
      </c>
      <c r="C9" s="168">
        <v>81</v>
      </c>
      <c r="D9" s="169">
        <v>5</v>
      </c>
      <c r="E9" s="170">
        <v>0.2</v>
      </c>
      <c r="F9" s="171">
        <v>1915.23</v>
      </c>
      <c r="G9" s="172">
        <f t="shared" ref="G9:G20" si="0">F9*C9</f>
        <v>155133.63</v>
      </c>
      <c r="H9" s="173">
        <f t="shared" ref="H9:H20" si="1">G9*E9</f>
        <v>31026.726000000002</v>
      </c>
    </row>
    <row r="10" spans="1:8" ht="63.75">
      <c r="A10" s="166">
        <v>2</v>
      </c>
      <c r="B10" s="167" t="s">
        <v>303</v>
      </c>
      <c r="C10" s="166">
        <v>41</v>
      </c>
      <c r="D10" s="169">
        <v>5</v>
      </c>
      <c r="E10" s="170">
        <v>0.2</v>
      </c>
      <c r="F10" s="171">
        <v>542.23</v>
      </c>
      <c r="G10" s="172">
        <f t="shared" si="0"/>
        <v>22231.43</v>
      </c>
      <c r="H10" s="173">
        <f t="shared" si="1"/>
        <v>4446.2860000000001</v>
      </c>
    </row>
    <row r="11" spans="1:8" ht="25.5">
      <c r="A11" s="166">
        <v>3</v>
      </c>
      <c r="B11" s="167" t="s">
        <v>304</v>
      </c>
      <c r="C11" s="168">
        <v>55</v>
      </c>
      <c r="D11" s="169">
        <v>5</v>
      </c>
      <c r="E11" s="170">
        <v>0.2</v>
      </c>
      <c r="F11" s="171">
        <v>1657.38</v>
      </c>
      <c r="G11" s="172">
        <f t="shared" si="0"/>
        <v>91155.900000000009</v>
      </c>
      <c r="H11" s="173">
        <f t="shared" si="1"/>
        <v>18231.180000000004</v>
      </c>
    </row>
    <row r="12" spans="1:8" ht="63.75">
      <c r="A12" s="166">
        <v>4</v>
      </c>
      <c r="B12" s="167" t="s">
        <v>305</v>
      </c>
      <c r="C12" s="168">
        <v>60</v>
      </c>
      <c r="D12" s="169">
        <v>5</v>
      </c>
      <c r="E12" s="170">
        <v>0.2</v>
      </c>
      <c r="F12" s="171">
        <v>1112.48</v>
      </c>
      <c r="G12" s="172">
        <f t="shared" si="0"/>
        <v>66748.800000000003</v>
      </c>
      <c r="H12" s="173">
        <f t="shared" si="1"/>
        <v>13349.760000000002</v>
      </c>
    </row>
    <row r="13" spans="1:8" ht="63.75">
      <c r="A13" s="166">
        <v>5</v>
      </c>
      <c r="B13" s="167" t="s">
        <v>306</v>
      </c>
      <c r="C13" s="168">
        <v>60</v>
      </c>
      <c r="D13" s="169">
        <v>5</v>
      </c>
      <c r="E13" s="170">
        <v>0.2</v>
      </c>
      <c r="F13" s="171">
        <v>320</v>
      </c>
      <c r="G13" s="172">
        <f t="shared" si="0"/>
        <v>19200</v>
      </c>
      <c r="H13" s="173">
        <f t="shared" si="1"/>
        <v>3840</v>
      </c>
    </row>
    <row r="14" spans="1:8" ht="102">
      <c r="A14" s="166">
        <v>6</v>
      </c>
      <c r="B14" s="167" t="s">
        <v>307</v>
      </c>
      <c r="C14" s="168">
        <v>200</v>
      </c>
      <c r="D14" s="169">
        <v>5</v>
      </c>
      <c r="E14" s="170">
        <v>0.2</v>
      </c>
      <c r="F14" s="171">
        <v>141</v>
      </c>
      <c r="G14" s="172">
        <f t="shared" si="0"/>
        <v>28200</v>
      </c>
      <c r="H14" s="173">
        <f t="shared" si="1"/>
        <v>5640</v>
      </c>
    </row>
    <row r="15" spans="1:8">
      <c r="A15" s="166">
        <v>7</v>
      </c>
      <c r="B15" s="298" t="s">
        <v>308</v>
      </c>
      <c r="C15" s="168">
        <v>32</v>
      </c>
      <c r="D15" s="169">
        <v>10</v>
      </c>
      <c r="E15" s="170">
        <v>0.1</v>
      </c>
      <c r="F15" s="174">
        <v>1282.72</v>
      </c>
      <c r="G15" s="301">
        <f t="shared" si="0"/>
        <v>41047.040000000001</v>
      </c>
      <c r="H15" s="173">
        <f t="shared" si="1"/>
        <v>4104.7040000000006</v>
      </c>
    </row>
    <row r="16" spans="1:8">
      <c r="A16" s="166">
        <v>8</v>
      </c>
      <c r="B16" s="299" t="s">
        <v>439</v>
      </c>
      <c r="C16" s="168">
        <v>1000</v>
      </c>
      <c r="D16" s="169">
        <v>5</v>
      </c>
      <c r="E16" s="170">
        <v>0.2</v>
      </c>
      <c r="F16" s="174">
        <v>25.32</v>
      </c>
      <c r="G16" s="301">
        <f t="shared" si="0"/>
        <v>25320</v>
      </c>
      <c r="H16" s="173">
        <f t="shared" si="1"/>
        <v>5064</v>
      </c>
    </row>
    <row r="17" spans="1:8" ht="26.25">
      <c r="A17" s="166">
        <v>9</v>
      </c>
      <c r="B17" s="299" t="s">
        <v>440</v>
      </c>
      <c r="C17" s="168">
        <v>1500</v>
      </c>
      <c r="D17" s="169">
        <v>5</v>
      </c>
      <c r="E17" s="170">
        <v>0.2</v>
      </c>
      <c r="F17" s="174">
        <v>23.95</v>
      </c>
      <c r="G17" s="301">
        <f t="shared" si="0"/>
        <v>35925</v>
      </c>
      <c r="H17" s="173">
        <f t="shared" si="1"/>
        <v>7185</v>
      </c>
    </row>
    <row r="18" spans="1:8">
      <c r="A18" s="166">
        <v>10</v>
      </c>
      <c r="B18" s="299" t="s">
        <v>441</v>
      </c>
      <c r="C18" s="168">
        <v>1000</v>
      </c>
      <c r="D18" s="169">
        <v>5</v>
      </c>
      <c r="E18" s="170">
        <v>0.2</v>
      </c>
      <c r="F18" s="174">
        <v>27.81</v>
      </c>
      <c r="G18" s="301">
        <f t="shared" si="0"/>
        <v>27810</v>
      </c>
      <c r="H18" s="173">
        <f t="shared" si="1"/>
        <v>5562</v>
      </c>
    </row>
    <row r="19" spans="1:8" ht="77.25">
      <c r="A19" s="166">
        <v>11</v>
      </c>
      <c r="B19" s="300" t="s">
        <v>442</v>
      </c>
      <c r="C19" s="168">
        <v>2000</v>
      </c>
      <c r="D19" s="169">
        <v>5</v>
      </c>
      <c r="E19" s="170">
        <v>0.2</v>
      </c>
      <c r="F19" s="174">
        <v>25.5</v>
      </c>
      <c r="G19" s="301">
        <f t="shared" si="0"/>
        <v>51000</v>
      </c>
      <c r="H19" s="173">
        <f t="shared" si="1"/>
        <v>10200</v>
      </c>
    </row>
    <row r="20" spans="1:8" ht="51.75">
      <c r="A20" s="166">
        <v>12</v>
      </c>
      <c r="B20" s="300" t="s">
        <v>443</v>
      </c>
      <c r="C20" s="168">
        <v>1000</v>
      </c>
      <c r="D20" s="169">
        <v>5</v>
      </c>
      <c r="E20" s="170">
        <v>0.2</v>
      </c>
      <c r="F20" s="174">
        <v>20.46</v>
      </c>
      <c r="G20" s="301">
        <f t="shared" si="0"/>
        <v>20460</v>
      </c>
      <c r="H20" s="173">
        <f t="shared" si="1"/>
        <v>4092</v>
      </c>
    </row>
    <row r="21" spans="1:8">
      <c r="A21" s="336" t="s">
        <v>309</v>
      </c>
      <c r="B21" s="337"/>
      <c r="C21" s="338"/>
      <c r="D21" s="338"/>
      <c r="E21" s="338"/>
      <c r="F21" s="339"/>
      <c r="G21" s="175"/>
      <c r="H21" s="176">
        <f>SUM(G9:G20)</f>
        <v>584231.80000000005</v>
      </c>
    </row>
    <row r="22" spans="1:8">
      <c r="A22" s="340" t="s">
        <v>310</v>
      </c>
      <c r="B22" s="337"/>
      <c r="C22" s="337"/>
      <c r="D22" s="337"/>
      <c r="E22" s="337"/>
      <c r="F22" s="341"/>
      <c r="G22" s="177"/>
      <c r="H22" s="178">
        <f>SUM(H9:H20)</f>
        <v>112741.65600000002</v>
      </c>
    </row>
    <row r="23" spans="1:8">
      <c r="A23" s="342" t="s">
        <v>561</v>
      </c>
      <c r="B23" s="337"/>
      <c r="C23" s="337"/>
      <c r="D23" s="337"/>
      <c r="E23" s="337"/>
      <c r="F23" s="341"/>
      <c r="G23" s="179"/>
      <c r="H23" s="178">
        <f>SUM(H22)</f>
        <v>112741.65600000002</v>
      </c>
    </row>
    <row r="24" spans="1:8">
      <c r="A24" s="342" t="s">
        <v>562</v>
      </c>
      <c r="B24" s="337"/>
      <c r="C24" s="337"/>
      <c r="D24" s="337"/>
      <c r="E24" s="337"/>
      <c r="F24" s="341"/>
      <c r="G24" s="179"/>
      <c r="H24" s="178">
        <f>H23/12</f>
        <v>9395.1380000000008</v>
      </c>
    </row>
    <row r="25" spans="1:8">
      <c r="A25" s="342" t="s">
        <v>311</v>
      </c>
      <c r="B25" s="337"/>
      <c r="C25" s="337"/>
      <c r="D25" s="337"/>
      <c r="E25" s="337"/>
      <c r="F25" s="341"/>
      <c r="G25" s="179"/>
      <c r="H25" s="178">
        <f>H24/543</f>
        <v>17.302279926335178</v>
      </c>
    </row>
    <row r="26" spans="1:8">
      <c r="A26" s="326" t="s">
        <v>312</v>
      </c>
      <c r="B26" s="327"/>
      <c r="C26" s="327"/>
      <c r="D26" s="327"/>
      <c r="E26" s="327"/>
      <c r="F26" s="146"/>
      <c r="G26" s="152"/>
      <c r="H26" s="146"/>
    </row>
    <row r="27" spans="1:8">
      <c r="A27" s="328" t="s">
        <v>313</v>
      </c>
      <c r="B27" s="327"/>
      <c r="C27" s="327"/>
      <c r="D27" s="327"/>
      <c r="E27" s="327"/>
      <c r="F27" s="327"/>
      <c r="G27" s="327"/>
      <c r="H27" s="327"/>
    </row>
    <row r="28" spans="1:8">
      <c r="A28" s="329" t="s">
        <v>314</v>
      </c>
      <c r="B28" s="327"/>
      <c r="C28" s="327"/>
      <c r="D28" s="327"/>
      <c r="E28" s="327"/>
      <c r="F28" s="327"/>
      <c r="G28" s="327"/>
      <c r="H28" s="327"/>
    </row>
    <row r="29" spans="1:8">
      <c r="A29" s="330" t="s">
        <v>315</v>
      </c>
      <c r="B29" s="327"/>
      <c r="C29" s="327"/>
      <c r="D29" s="327"/>
      <c r="E29" s="327"/>
      <c r="F29" s="146"/>
      <c r="G29" s="152"/>
      <c r="H29" s="146"/>
    </row>
    <row r="30" spans="1:8" ht="15.75" thickBot="1">
      <c r="A30" s="180"/>
      <c r="B30" s="181"/>
      <c r="C30" s="180"/>
      <c r="D30" s="180"/>
      <c r="E30" s="180"/>
      <c r="F30" s="146"/>
      <c r="G30" s="152"/>
      <c r="H30" s="146"/>
    </row>
    <row r="31" spans="1:8" ht="15.75" thickBot="1">
      <c r="A31" s="331"/>
      <c r="B31" s="332" t="s">
        <v>316</v>
      </c>
      <c r="C31" s="333"/>
      <c r="D31" s="146"/>
      <c r="E31" s="334"/>
      <c r="F31" s="322"/>
      <c r="G31" s="335"/>
      <c r="H31" s="322"/>
    </row>
    <row r="32" spans="1:8">
      <c r="A32" s="331"/>
      <c r="B32" s="182" t="s">
        <v>317</v>
      </c>
      <c r="C32" s="183" t="s">
        <v>318</v>
      </c>
      <c r="D32" s="146"/>
      <c r="E32" s="189"/>
      <c r="F32" s="190"/>
      <c r="G32" s="321"/>
      <c r="H32" s="322"/>
    </row>
    <row r="33" spans="1:8">
      <c r="A33" s="146"/>
      <c r="B33" s="184" t="s">
        <v>319</v>
      </c>
      <c r="C33" s="185">
        <v>1</v>
      </c>
      <c r="D33" s="146"/>
      <c r="E33" s="189"/>
      <c r="F33" s="190"/>
      <c r="G33" s="321"/>
      <c r="H33" s="322"/>
    </row>
    <row r="34" spans="1:8">
      <c r="A34" s="146"/>
      <c r="B34" s="184" t="s">
        <v>320</v>
      </c>
      <c r="C34" s="185">
        <v>1</v>
      </c>
      <c r="D34" s="146"/>
      <c r="E34" s="189"/>
      <c r="F34" s="190"/>
      <c r="G34" s="323"/>
      <c r="H34" s="322"/>
    </row>
    <row r="35" spans="1:8">
      <c r="A35" s="146"/>
      <c r="B35" s="184" t="s">
        <v>321</v>
      </c>
      <c r="C35" s="186">
        <v>1</v>
      </c>
      <c r="D35" s="146"/>
      <c r="E35" s="146"/>
      <c r="F35" s="146"/>
      <c r="G35" s="152"/>
      <c r="H35" s="146"/>
    </row>
    <row r="36" spans="1:8">
      <c r="A36" s="146"/>
      <c r="B36" s="184" t="s">
        <v>322</v>
      </c>
      <c r="C36" s="185">
        <v>1</v>
      </c>
      <c r="D36" s="146"/>
      <c r="E36" s="146"/>
      <c r="F36" s="146"/>
      <c r="G36" s="152"/>
      <c r="H36" s="146"/>
    </row>
    <row r="37" spans="1:8">
      <c r="A37" s="146"/>
      <c r="B37" s="184" t="s">
        <v>323</v>
      </c>
      <c r="C37" s="185">
        <v>1</v>
      </c>
      <c r="D37" s="146"/>
      <c r="E37" s="146"/>
      <c r="F37" s="146"/>
      <c r="G37" s="152"/>
      <c r="H37" s="146"/>
    </row>
    <row r="38" spans="1:8">
      <c r="A38" s="146"/>
      <c r="B38" s="317" t="s">
        <v>324</v>
      </c>
      <c r="C38" s="319">
        <v>2</v>
      </c>
      <c r="D38" s="146"/>
      <c r="E38" s="146"/>
      <c r="F38" s="146"/>
      <c r="G38" s="152"/>
      <c r="H38" s="146"/>
    </row>
    <row r="39" spans="1:8">
      <c r="A39" s="146"/>
      <c r="B39" s="318"/>
      <c r="C39" s="320"/>
      <c r="D39" s="146"/>
      <c r="E39" s="146"/>
      <c r="F39" s="146"/>
      <c r="G39" s="152"/>
      <c r="H39" s="146"/>
    </row>
    <row r="40" spans="1:8">
      <c r="A40" s="146"/>
      <c r="B40" s="318"/>
      <c r="C40" s="320"/>
      <c r="D40" s="146"/>
      <c r="E40" s="146"/>
      <c r="F40" s="146"/>
      <c r="G40" s="152"/>
      <c r="H40" s="146"/>
    </row>
    <row r="41" spans="1:8">
      <c r="A41" s="146"/>
      <c r="B41" s="324" t="s">
        <v>325</v>
      </c>
      <c r="C41" s="325">
        <v>2</v>
      </c>
      <c r="D41" s="146"/>
      <c r="E41" s="146"/>
      <c r="F41" s="146"/>
      <c r="G41" s="152"/>
      <c r="H41" s="146"/>
    </row>
    <row r="42" spans="1:8">
      <c r="A42" s="146"/>
      <c r="B42" s="318"/>
      <c r="C42" s="320"/>
      <c r="D42" s="146"/>
      <c r="E42" s="146"/>
      <c r="F42" s="146"/>
      <c r="G42" s="152"/>
      <c r="H42" s="146"/>
    </row>
    <row r="43" spans="1:8">
      <c r="A43" s="146"/>
      <c r="B43" s="317" t="s">
        <v>326</v>
      </c>
      <c r="C43" s="319">
        <v>2</v>
      </c>
      <c r="D43" s="146"/>
      <c r="E43" s="146"/>
      <c r="F43" s="146"/>
      <c r="G43" s="152"/>
      <c r="H43" s="146"/>
    </row>
    <row r="44" spans="1:8">
      <c r="A44" s="146"/>
      <c r="B44" s="318"/>
      <c r="C44" s="320"/>
      <c r="D44" s="146"/>
      <c r="E44" s="146"/>
      <c r="F44" s="146"/>
      <c r="G44" s="152"/>
      <c r="H44" s="146"/>
    </row>
    <row r="45" spans="1:8">
      <c r="A45" s="146"/>
      <c r="B45" s="184" t="s">
        <v>327</v>
      </c>
      <c r="C45" s="185">
        <v>1</v>
      </c>
      <c r="D45" s="146"/>
      <c r="E45" s="146"/>
      <c r="F45" s="146"/>
      <c r="G45" s="152"/>
      <c r="H45" s="146"/>
    </row>
    <row r="46" spans="1:8">
      <c r="A46" s="146"/>
      <c r="B46" s="184" t="s">
        <v>328</v>
      </c>
      <c r="C46" s="185">
        <v>1</v>
      </c>
      <c r="D46" s="146"/>
      <c r="E46" s="146"/>
      <c r="F46" s="146"/>
      <c r="G46" s="152"/>
      <c r="H46" s="146"/>
    </row>
    <row r="47" spans="1:8">
      <c r="A47" s="146"/>
      <c r="B47" s="184" t="s">
        <v>228</v>
      </c>
      <c r="C47" s="185">
        <v>1</v>
      </c>
      <c r="D47" s="146"/>
      <c r="E47" s="146"/>
      <c r="F47" s="146"/>
      <c r="G47" s="152"/>
      <c r="H47" s="146"/>
    </row>
    <row r="48" spans="1:8">
      <c r="A48" s="146"/>
      <c r="B48" s="184" t="s">
        <v>329</v>
      </c>
      <c r="C48" s="185">
        <v>1</v>
      </c>
      <c r="D48" s="146"/>
      <c r="E48" s="146"/>
      <c r="F48" s="146"/>
      <c r="G48" s="152"/>
      <c r="H48" s="146"/>
    </row>
    <row r="49" spans="1:8">
      <c r="A49" s="146"/>
      <c r="B49" s="184" t="s">
        <v>230</v>
      </c>
      <c r="C49" s="185">
        <v>1</v>
      </c>
      <c r="D49" s="146"/>
      <c r="E49" s="146"/>
      <c r="F49" s="146"/>
      <c r="G49" s="152"/>
      <c r="H49" s="146"/>
    </row>
    <row r="50" spans="1:8">
      <c r="A50" s="146"/>
      <c r="B50" s="184" t="s">
        <v>232</v>
      </c>
      <c r="C50" s="185">
        <v>1</v>
      </c>
      <c r="D50" s="146"/>
      <c r="E50" s="146"/>
      <c r="F50" s="146"/>
      <c r="G50" s="152"/>
      <c r="H50" s="146"/>
    </row>
    <row r="51" spans="1:8">
      <c r="A51" s="146"/>
      <c r="B51" s="184" t="s">
        <v>252</v>
      </c>
      <c r="C51" s="185">
        <v>1</v>
      </c>
      <c r="D51" s="146"/>
      <c r="E51" s="146"/>
      <c r="F51" s="146"/>
      <c r="G51" s="152"/>
      <c r="H51" s="146"/>
    </row>
    <row r="52" spans="1:8">
      <c r="A52" s="146"/>
      <c r="B52" s="184" t="s">
        <v>330</v>
      </c>
      <c r="C52" s="185">
        <v>1</v>
      </c>
      <c r="D52" s="146"/>
      <c r="E52" s="146"/>
      <c r="F52" s="146"/>
      <c r="G52" s="152"/>
      <c r="H52" s="146"/>
    </row>
    <row r="53" spans="1:8">
      <c r="A53" s="146"/>
      <c r="B53" s="184" t="s">
        <v>331</v>
      </c>
      <c r="C53" s="185">
        <v>0</v>
      </c>
      <c r="D53" s="146"/>
      <c r="E53" s="146"/>
      <c r="F53" s="146"/>
      <c r="G53" s="152"/>
      <c r="H53" s="146"/>
    </row>
    <row r="54" spans="1:8">
      <c r="A54" s="146"/>
      <c r="B54" s="184" t="s">
        <v>332</v>
      </c>
      <c r="C54" s="185">
        <v>1</v>
      </c>
      <c r="D54" s="146"/>
      <c r="E54" s="146"/>
      <c r="F54" s="146"/>
      <c r="G54" s="152"/>
      <c r="H54" s="146"/>
    </row>
    <row r="55" spans="1:8">
      <c r="A55" s="146"/>
      <c r="B55" s="184" t="s">
        <v>333</v>
      </c>
      <c r="C55" s="186">
        <v>1</v>
      </c>
      <c r="D55" s="146"/>
      <c r="E55" s="146"/>
      <c r="F55" s="146"/>
      <c r="G55" s="152"/>
      <c r="H55" s="146"/>
    </row>
    <row r="56" spans="1:8">
      <c r="A56" s="146"/>
      <c r="B56" s="184" t="s">
        <v>334</v>
      </c>
      <c r="C56" s="185">
        <v>1</v>
      </c>
      <c r="D56" s="146"/>
      <c r="E56" s="146"/>
      <c r="F56" s="146"/>
      <c r="G56" s="152"/>
      <c r="H56" s="146"/>
    </row>
    <row r="57" spans="1:8">
      <c r="A57" s="146"/>
      <c r="B57" s="184" t="s">
        <v>224</v>
      </c>
      <c r="C57" s="185">
        <v>1</v>
      </c>
      <c r="D57" s="146"/>
      <c r="E57" s="146"/>
      <c r="F57" s="146"/>
      <c r="G57" s="152"/>
      <c r="H57" s="146"/>
    </row>
    <row r="58" spans="1:8">
      <c r="A58" s="146"/>
      <c r="B58" s="184" t="s">
        <v>335</v>
      </c>
      <c r="C58" s="185">
        <v>1</v>
      </c>
      <c r="D58" s="146"/>
      <c r="E58" s="146"/>
      <c r="F58" s="146"/>
      <c r="G58" s="152"/>
      <c r="H58" s="146"/>
    </row>
    <row r="59" spans="1:8">
      <c r="A59" s="146"/>
      <c r="B59" s="184" t="s">
        <v>336</v>
      </c>
      <c r="C59" s="185">
        <v>1</v>
      </c>
      <c r="D59" s="146"/>
      <c r="E59" s="146"/>
      <c r="F59" s="146"/>
      <c r="G59" s="152"/>
      <c r="H59" s="146"/>
    </row>
    <row r="60" spans="1:8">
      <c r="A60" s="146"/>
      <c r="B60" s="184" t="s">
        <v>337</v>
      </c>
      <c r="C60" s="185">
        <v>1</v>
      </c>
      <c r="D60" s="152"/>
      <c r="E60" s="152"/>
      <c r="F60" s="152"/>
      <c r="G60" s="152"/>
      <c r="H60" s="146"/>
    </row>
    <row r="61" spans="1:8">
      <c r="A61" s="146"/>
      <c r="B61" s="184" t="s">
        <v>338</v>
      </c>
      <c r="C61" s="185">
        <v>2</v>
      </c>
      <c r="D61" s="152"/>
      <c r="E61" s="152"/>
      <c r="F61" s="152"/>
      <c r="G61" s="152"/>
      <c r="H61" s="146"/>
    </row>
    <row r="62" spans="1:8">
      <c r="A62" s="146"/>
      <c r="B62" s="184" t="s">
        <v>339</v>
      </c>
      <c r="C62" s="185">
        <v>1</v>
      </c>
      <c r="D62" s="152"/>
      <c r="E62" s="152"/>
      <c r="F62" s="152"/>
      <c r="G62" s="152"/>
      <c r="H62" s="146"/>
    </row>
    <row r="63" spans="1:8">
      <c r="A63" s="146"/>
      <c r="B63" s="184" t="s">
        <v>340</v>
      </c>
      <c r="C63" s="185">
        <v>1</v>
      </c>
      <c r="D63" s="146"/>
      <c r="E63" s="146"/>
      <c r="F63" s="146"/>
      <c r="G63" s="152"/>
      <c r="H63" s="146"/>
    </row>
    <row r="64" spans="1:8">
      <c r="A64" s="146"/>
      <c r="B64" s="184" t="s">
        <v>341</v>
      </c>
      <c r="C64" s="185">
        <v>1</v>
      </c>
      <c r="D64" s="152"/>
      <c r="E64" s="152"/>
      <c r="F64" s="152"/>
      <c r="G64" s="152"/>
      <c r="H64" s="146"/>
    </row>
    <row r="65" spans="1:8">
      <c r="A65" s="163"/>
      <c r="B65" s="184" t="s">
        <v>342</v>
      </c>
      <c r="C65" s="185">
        <v>1</v>
      </c>
      <c r="D65" s="152"/>
      <c r="E65" s="152"/>
      <c r="F65" s="152"/>
      <c r="G65" s="152"/>
      <c r="H65" s="146"/>
    </row>
    <row r="66" spans="1:8" ht="15.75" thickBot="1">
      <c r="A66" s="163"/>
      <c r="B66" s="187" t="s">
        <v>343</v>
      </c>
      <c r="C66" s="188">
        <f>SUM(C33:C65)</f>
        <v>32</v>
      </c>
      <c r="D66" s="152"/>
      <c r="E66" s="152"/>
      <c r="F66" s="152"/>
      <c r="G66" s="152"/>
      <c r="H66" s="146"/>
    </row>
  </sheetData>
  <mergeCells count="32">
    <mergeCell ref="F7:H7"/>
    <mergeCell ref="A5:H5"/>
    <mergeCell ref="A4:H4"/>
    <mergeCell ref="A1:H1"/>
    <mergeCell ref="A2:H2"/>
    <mergeCell ref="A7:A8"/>
    <mergeCell ref="B7:B8"/>
    <mergeCell ref="C7:C8"/>
    <mergeCell ref="D7:D8"/>
    <mergeCell ref="E7:E8"/>
    <mergeCell ref="A21:F21"/>
    <mergeCell ref="A22:F22"/>
    <mergeCell ref="A23:F23"/>
    <mergeCell ref="A24:F24"/>
    <mergeCell ref="A25:F25"/>
    <mergeCell ref="A26:E26"/>
    <mergeCell ref="A27:H27"/>
    <mergeCell ref="A28:H28"/>
    <mergeCell ref="A29:E29"/>
    <mergeCell ref="A31:A32"/>
    <mergeCell ref="B31:C31"/>
    <mergeCell ref="E31:F31"/>
    <mergeCell ref="G31:H31"/>
    <mergeCell ref="G32:H32"/>
    <mergeCell ref="B43:B44"/>
    <mergeCell ref="C43:C44"/>
    <mergeCell ref="G33:H33"/>
    <mergeCell ref="G34:H34"/>
    <mergeCell ref="B38:B40"/>
    <mergeCell ref="C38:C40"/>
    <mergeCell ref="B41:B42"/>
    <mergeCell ref="C41:C42"/>
  </mergeCells>
  <pageMargins left="0.511811024" right="0.511811024" top="0.78740157499999996" bottom="0.78740157499999996" header="0.31496062000000002" footer="0.31496062000000002"/>
  <pageSetup paperSize="9" scale="69" orientation="portrait" r:id="rId1"/>
  <headerFooter>
    <oddHeader>&amp;L&amp;G&amp;CProcesso 23069.170673/2021-70
PE 32/2022&amp;R&amp;G</oddHeader>
    <oddFooter>&amp;L&amp;"-,Itálico"&amp;9&amp;A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6"/>
  <sheetViews>
    <sheetView topLeftCell="A6" zoomScaleNormal="100" workbookViewId="0">
      <selection activeCell="F6" sqref="F6"/>
    </sheetView>
  </sheetViews>
  <sheetFormatPr defaultColWidth="8.85546875" defaultRowHeight="15"/>
  <cols>
    <col min="1" max="1" width="7.42578125" customWidth="1"/>
    <col min="2" max="2" width="46.85546875" customWidth="1"/>
    <col min="3" max="3" width="8.85546875" customWidth="1"/>
    <col min="4" max="4" width="12.7109375" customWidth="1"/>
    <col min="5" max="5" width="12.28515625" customWidth="1"/>
    <col min="6" max="6" width="14.140625" customWidth="1"/>
    <col min="7" max="7" width="11.85546875" customWidth="1"/>
  </cols>
  <sheetData>
    <row r="1" spans="1:7" ht="18.75" customHeight="1">
      <c r="A1" s="313" t="s">
        <v>0</v>
      </c>
      <c r="B1" s="313"/>
      <c r="C1" s="313"/>
      <c r="D1" s="313"/>
      <c r="E1" s="313"/>
      <c r="F1" s="313"/>
      <c r="G1" s="313"/>
    </row>
    <row r="2" spans="1:7" ht="18.75">
      <c r="A2" s="310" t="s">
        <v>1</v>
      </c>
      <c r="B2" s="310"/>
      <c r="C2" s="310"/>
      <c r="D2" s="310"/>
      <c r="E2" s="310"/>
      <c r="F2" s="310"/>
      <c r="G2" s="310"/>
    </row>
    <row r="4" spans="1:7">
      <c r="A4" s="347" t="s">
        <v>556</v>
      </c>
      <c r="B4" s="307"/>
      <c r="C4" s="307"/>
      <c r="D4" s="307"/>
      <c r="E4" s="307"/>
      <c r="F4" s="307"/>
      <c r="G4" s="307"/>
    </row>
    <row r="5" spans="1:7" ht="36" customHeight="1">
      <c r="A5" s="315" t="s">
        <v>124</v>
      </c>
      <c r="B5" s="315"/>
      <c r="C5" s="315"/>
      <c r="D5" s="315"/>
      <c r="E5" s="315"/>
      <c r="F5" s="315"/>
      <c r="G5" s="315"/>
    </row>
    <row r="6" spans="1:7" ht="15.75" thickBot="1"/>
    <row r="7" spans="1:7" ht="45.75" thickBot="1">
      <c r="A7" s="191" t="s">
        <v>6</v>
      </c>
      <c r="B7" s="192" t="s">
        <v>12</v>
      </c>
      <c r="C7" s="192" t="s">
        <v>344</v>
      </c>
      <c r="D7" s="192" t="s">
        <v>345</v>
      </c>
      <c r="E7" s="192" t="s">
        <v>346</v>
      </c>
      <c r="F7" s="193" t="s">
        <v>347</v>
      </c>
      <c r="G7" s="194" t="s">
        <v>348</v>
      </c>
    </row>
    <row r="8" spans="1:7">
      <c r="A8" s="195">
        <v>1</v>
      </c>
      <c r="B8" s="348" t="s">
        <v>349</v>
      </c>
      <c r="C8" s="349"/>
      <c r="D8" s="349"/>
      <c r="E8" s="349"/>
      <c r="F8" s="350"/>
      <c r="G8" s="351"/>
    </row>
    <row r="9" spans="1:7" ht="60">
      <c r="A9" s="196" t="s">
        <v>350</v>
      </c>
      <c r="B9" s="197" t="s">
        <v>351</v>
      </c>
      <c r="C9" s="198" t="s">
        <v>11</v>
      </c>
      <c r="D9" s="199">
        <f>+F9/4*3</f>
        <v>3</v>
      </c>
      <c r="E9" s="199">
        <f>+F9/4</f>
        <v>1</v>
      </c>
      <c r="F9" s="200">
        <v>4</v>
      </c>
      <c r="G9" s="355">
        <v>1.4500000000000001E-2</v>
      </c>
    </row>
    <row r="10" spans="1:7" ht="60">
      <c r="A10" s="196" t="s">
        <v>352</v>
      </c>
      <c r="B10" s="197" t="s">
        <v>353</v>
      </c>
      <c r="C10" s="198" t="s">
        <v>11</v>
      </c>
      <c r="D10" s="199">
        <f t="shared" ref="D10:D13" si="0">+F10/4*3</f>
        <v>6</v>
      </c>
      <c r="E10" s="199">
        <f t="shared" ref="E10:E13" si="1">+F10/4</f>
        <v>2</v>
      </c>
      <c r="F10" s="198">
        <v>8</v>
      </c>
      <c r="G10" s="356"/>
    </row>
    <row r="11" spans="1:7">
      <c r="A11" s="196" t="s">
        <v>354</v>
      </c>
      <c r="B11" s="197" t="s">
        <v>355</v>
      </c>
      <c r="C11" s="198" t="s">
        <v>13</v>
      </c>
      <c r="D11" s="199">
        <f t="shared" si="0"/>
        <v>9</v>
      </c>
      <c r="E11" s="199">
        <f t="shared" si="1"/>
        <v>3</v>
      </c>
      <c r="F11" s="198">
        <v>12</v>
      </c>
      <c r="G11" s="356"/>
    </row>
    <row r="12" spans="1:7" ht="120">
      <c r="A12" s="196" t="s">
        <v>356</v>
      </c>
      <c r="B12" s="197" t="s">
        <v>357</v>
      </c>
      <c r="C12" s="198" t="s">
        <v>13</v>
      </c>
      <c r="D12" s="199">
        <f t="shared" si="0"/>
        <v>3</v>
      </c>
      <c r="E12" s="199">
        <f t="shared" si="1"/>
        <v>1</v>
      </c>
      <c r="F12" s="198">
        <v>4</v>
      </c>
      <c r="G12" s="356"/>
    </row>
    <row r="13" spans="1:7" ht="90">
      <c r="A13" s="196" t="s">
        <v>358</v>
      </c>
      <c r="B13" s="197" t="s">
        <v>359</v>
      </c>
      <c r="C13" s="198" t="s">
        <v>13</v>
      </c>
      <c r="D13" s="199">
        <f t="shared" si="0"/>
        <v>3</v>
      </c>
      <c r="E13" s="199">
        <f t="shared" si="1"/>
        <v>1</v>
      </c>
      <c r="F13" s="198">
        <v>4</v>
      </c>
      <c r="G13" s="356"/>
    </row>
    <row r="14" spans="1:7" ht="105.75" thickBot="1">
      <c r="A14" s="201" t="s">
        <v>360</v>
      </c>
      <c r="B14" s="202" t="s">
        <v>361</v>
      </c>
      <c r="C14" s="203" t="s">
        <v>11</v>
      </c>
      <c r="D14" s="204">
        <v>36</v>
      </c>
      <c r="E14" s="205">
        <v>12</v>
      </c>
      <c r="F14" s="203">
        <v>48</v>
      </c>
      <c r="G14" s="357"/>
    </row>
    <row r="15" spans="1:7">
      <c r="A15" s="195">
        <v>2</v>
      </c>
      <c r="B15" s="348" t="s">
        <v>464</v>
      </c>
      <c r="C15" s="349"/>
      <c r="D15" s="349"/>
      <c r="E15" s="349"/>
      <c r="F15" s="350"/>
      <c r="G15" s="351"/>
    </row>
    <row r="16" spans="1:7" ht="60">
      <c r="A16" s="206" t="s">
        <v>362</v>
      </c>
      <c r="B16" s="197" t="s">
        <v>363</v>
      </c>
      <c r="C16" s="198" t="s">
        <v>11</v>
      </c>
      <c r="D16" s="199">
        <f t="shared" ref="D16:D22" si="2">+F16/4*3</f>
        <v>3</v>
      </c>
      <c r="E16" s="199">
        <f t="shared" ref="E16:E22" si="3">+F16/4</f>
        <v>1</v>
      </c>
      <c r="F16" s="198">
        <v>4</v>
      </c>
      <c r="G16" s="355">
        <v>1.4500000000000001E-2</v>
      </c>
    </row>
    <row r="17" spans="1:7" ht="60">
      <c r="A17" s="196" t="s">
        <v>41</v>
      </c>
      <c r="B17" s="197" t="s">
        <v>353</v>
      </c>
      <c r="C17" s="198" t="s">
        <v>11</v>
      </c>
      <c r="D17" s="199">
        <f t="shared" si="2"/>
        <v>6</v>
      </c>
      <c r="E17" s="199">
        <f t="shared" si="3"/>
        <v>2</v>
      </c>
      <c r="F17" s="198">
        <v>8</v>
      </c>
      <c r="G17" s="356"/>
    </row>
    <row r="18" spans="1:7" ht="45">
      <c r="A18" s="196" t="s">
        <v>57</v>
      </c>
      <c r="B18" s="197" t="s">
        <v>364</v>
      </c>
      <c r="C18" s="198" t="s">
        <v>13</v>
      </c>
      <c r="D18" s="199">
        <f t="shared" si="2"/>
        <v>9</v>
      </c>
      <c r="E18" s="199">
        <f t="shared" si="3"/>
        <v>3</v>
      </c>
      <c r="F18" s="198">
        <v>12</v>
      </c>
      <c r="G18" s="356"/>
    </row>
    <row r="19" spans="1:7" ht="120">
      <c r="A19" s="196" t="s">
        <v>365</v>
      </c>
      <c r="B19" s="202" t="s">
        <v>366</v>
      </c>
      <c r="C19" s="198" t="s">
        <v>13</v>
      </c>
      <c r="D19" s="199">
        <f t="shared" si="2"/>
        <v>3</v>
      </c>
      <c r="E19" s="199">
        <f t="shared" si="3"/>
        <v>1</v>
      </c>
      <c r="F19" s="198">
        <v>4</v>
      </c>
      <c r="G19" s="356"/>
    </row>
    <row r="20" spans="1:7" ht="105">
      <c r="A20" s="196" t="s">
        <v>367</v>
      </c>
      <c r="B20" s="202" t="s">
        <v>368</v>
      </c>
      <c r="C20" s="198" t="s">
        <v>13</v>
      </c>
      <c r="D20" s="199">
        <f t="shared" si="2"/>
        <v>3</v>
      </c>
      <c r="E20" s="199">
        <f t="shared" si="3"/>
        <v>1</v>
      </c>
      <c r="F20" s="198">
        <v>4</v>
      </c>
      <c r="G20" s="356"/>
    </row>
    <row r="21" spans="1:7" ht="105.75" thickBot="1">
      <c r="A21" s="196" t="s">
        <v>369</v>
      </c>
      <c r="B21" s="202" t="s">
        <v>361</v>
      </c>
      <c r="C21" s="198" t="s">
        <v>11</v>
      </c>
      <c r="D21" s="204">
        <v>36</v>
      </c>
      <c r="E21" s="205">
        <v>12</v>
      </c>
      <c r="F21" s="198">
        <v>48</v>
      </c>
      <c r="G21" s="356"/>
    </row>
    <row r="22" spans="1:7" ht="75.75" thickBot="1">
      <c r="A22" s="201" t="s">
        <v>370</v>
      </c>
      <c r="B22" s="207" t="s">
        <v>371</v>
      </c>
      <c r="C22" s="203" t="s">
        <v>11</v>
      </c>
      <c r="D22" s="205">
        <f t="shared" si="2"/>
        <v>3</v>
      </c>
      <c r="E22" s="205">
        <f t="shared" si="3"/>
        <v>1</v>
      </c>
      <c r="F22" s="203">
        <v>4</v>
      </c>
      <c r="G22" s="357"/>
    </row>
    <row r="23" spans="1:7">
      <c r="A23" s="208">
        <v>3</v>
      </c>
      <c r="B23" s="358" t="s">
        <v>121</v>
      </c>
      <c r="C23" s="359"/>
      <c r="D23" s="359"/>
      <c r="E23" s="359"/>
      <c r="F23" s="360"/>
      <c r="G23" s="361"/>
    </row>
    <row r="24" spans="1:7" ht="30">
      <c r="A24" s="196" t="s">
        <v>71</v>
      </c>
      <c r="B24" s="209" t="s">
        <v>372</v>
      </c>
      <c r="C24" s="198" t="s">
        <v>11</v>
      </c>
      <c r="D24" s="210">
        <f t="shared" ref="D24:D27" si="4">+F24/4*3</f>
        <v>3</v>
      </c>
      <c r="E24" s="210">
        <f t="shared" ref="E24:E27" si="5">+F24/4</f>
        <v>1</v>
      </c>
      <c r="F24" s="198">
        <v>4</v>
      </c>
      <c r="G24" s="355">
        <v>1.23E-2</v>
      </c>
    </row>
    <row r="25" spans="1:7" ht="30">
      <c r="A25" s="196" t="s">
        <v>80</v>
      </c>
      <c r="B25" s="209" t="s">
        <v>373</v>
      </c>
      <c r="C25" s="198" t="s">
        <v>11</v>
      </c>
      <c r="D25" s="210">
        <f t="shared" si="4"/>
        <v>6</v>
      </c>
      <c r="E25" s="210">
        <f t="shared" si="5"/>
        <v>2</v>
      </c>
      <c r="F25" s="198">
        <v>8</v>
      </c>
      <c r="G25" s="356"/>
    </row>
    <row r="26" spans="1:7">
      <c r="A26" s="196" t="s">
        <v>374</v>
      </c>
      <c r="B26" s="209" t="s">
        <v>375</v>
      </c>
      <c r="C26" s="198" t="s">
        <v>13</v>
      </c>
      <c r="D26" s="210">
        <f t="shared" si="4"/>
        <v>9</v>
      </c>
      <c r="E26" s="210">
        <f t="shared" si="5"/>
        <v>3</v>
      </c>
      <c r="F26" s="198">
        <v>12</v>
      </c>
      <c r="G26" s="356"/>
    </row>
    <row r="27" spans="1:7" ht="30">
      <c r="A27" s="211" t="s">
        <v>376</v>
      </c>
      <c r="B27" s="212" t="s">
        <v>377</v>
      </c>
      <c r="C27" s="213" t="s">
        <v>13</v>
      </c>
      <c r="D27" s="214">
        <f t="shared" si="4"/>
        <v>3</v>
      </c>
      <c r="E27" s="214">
        <f t="shared" si="5"/>
        <v>1</v>
      </c>
      <c r="F27" s="213">
        <v>4</v>
      </c>
      <c r="G27" s="356"/>
    </row>
    <row r="28" spans="1:7" ht="105">
      <c r="A28" s="215" t="s">
        <v>378</v>
      </c>
      <c r="B28" s="216" t="s">
        <v>361</v>
      </c>
      <c r="C28" s="215" t="s">
        <v>11</v>
      </c>
      <c r="D28" s="217">
        <v>36</v>
      </c>
      <c r="E28" s="217">
        <v>12</v>
      </c>
      <c r="F28" s="218">
        <v>48</v>
      </c>
      <c r="G28" s="250"/>
    </row>
    <row r="29" spans="1:7">
      <c r="A29" s="147"/>
      <c r="B29" s="251"/>
      <c r="C29" s="251"/>
      <c r="D29" s="251"/>
      <c r="E29" s="251"/>
      <c r="F29" s="252"/>
      <c r="G29" s="253"/>
    </row>
    <row r="30" spans="1:7">
      <c r="A30" s="362" t="s">
        <v>379</v>
      </c>
      <c r="B30" s="363"/>
      <c r="C30" s="363"/>
      <c r="D30" s="363"/>
      <c r="E30" s="363"/>
      <c r="F30" s="363"/>
      <c r="G30" s="363"/>
    </row>
    <row r="31" spans="1:7">
      <c r="G31" s="219"/>
    </row>
    <row r="32" spans="1:7">
      <c r="A32" s="352" t="s">
        <v>380</v>
      </c>
      <c r="B32" s="353"/>
      <c r="C32" s="353"/>
      <c r="D32" s="353"/>
      <c r="E32" s="353"/>
      <c r="F32" s="353"/>
      <c r="G32" s="353"/>
    </row>
    <row r="33" spans="1:7" ht="44.25" customHeight="1">
      <c r="A33" s="353"/>
      <c r="B33" s="353"/>
      <c r="C33" s="353"/>
      <c r="D33" s="353"/>
      <c r="E33" s="353"/>
      <c r="F33" s="353"/>
      <c r="G33" s="353"/>
    </row>
    <row r="34" spans="1:7">
      <c r="B34" s="220"/>
      <c r="C34" s="220"/>
      <c r="D34" s="220"/>
      <c r="E34" s="220"/>
      <c r="F34" s="220"/>
      <c r="G34" s="219"/>
    </row>
    <row r="35" spans="1:7">
      <c r="A35" s="354" t="s">
        <v>381</v>
      </c>
      <c r="B35" s="353"/>
      <c r="C35" s="353"/>
      <c r="D35" s="353"/>
      <c r="E35" s="353"/>
      <c r="F35" s="353"/>
      <c r="G35" s="353"/>
    </row>
    <row r="36" spans="1:7">
      <c r="A36" s="353"/>
      <c r="B36" s="353"/>
      <c r="C36" s="353"/>
      <c r="D36" s="353"/>
      <c r="E36" s="353"/>
      <c r="F36" s="353"/>
      <c r="G36" s="353"/>
    </row>
  </sheetData>
  <mergeCells count="13">
    <mergeCell ref="A32:G33"/>
    <mergeCell ref="A35:G36"/>
    <mergeCell ref="G24:G27"/>
    <mergeCell ref="G9:G14"/>
    <mergeCell ref="B15:G15"/>
    <mergeCell ref="G16:G22"/>
    <mergeCell ref="B23:G23"/>
    <mergeCell ref="A30:G30"/>
    <mergeCell ref="A4:G4"/>
    <mergeCell ref="A5:G5"/>
    <mergeCell ref="A1:G1"/>
    <mergeCell ref="A2:G2"/>
    <mergeCell ref="B8:G8"/>
  </mergeCells>
  <pageMargins left="0.511811024" right="0.511811024" top="0.78740157499999996" bottom="0.78740157499999996" header="0.31496062000000002" footer="0.31496062000000002"/>
  <pageSetup paperSize="9" scale="80" orientation="portrait" r:id="rId1"/>
  <headerFooter>
    <oddHeader>&amp;L&amp;G&amp;CProcesso 23069.170673/2021-70
PE 32/2022&amp;R&amp;G</oddHeader>
    <oddFooter>&amp;L&amp;"-,Itálico"&amp;9&amp;A</oddFooter>
  </headerFooter>
  <rowBreaks count="1" manualBreakCount="1">
    <brk id="19" max="6" man="1"/>
  </rowBreaks>
  <drawing r:id="rId2"/>
  <legacyDrawing r:id="rId3"/>
  <legacyDrawingHF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F03E2C-C661-495C-9F83-D0307D8DE275}">
  <dimension ref="A1:H75"/>
  <sheetViews>
    <sheetView zoomScaleNormal="100" workbookViewId="0">
      <selection activeCell="A2" sqref="A2:D2"/>
    </sheetView>
  </sheetViews>
  <sheetFormatPr defaultColWidth="8.85546875" defaultRowHeight="15"/>
  <cols>
    <col min="1" max="1" width="7.42578125" customWidth="1"/>
    <col min="2" max="2" width="62.85546875" customWidth="1"/>
    <col min="3" max="3" width="10.140625" customWidth="1"/>
    <col min="4" max="4" width="12.7109375" customWidth="1"/>
    <col min="5" max="5" width="12.28515625" customWidth="1"/>
    <col min="6" max="6" width="14.140625" customWidth="1"/>
    <col min="7" max="7" width="11.85546875" customWidth="1"/>
    <col min="8" max="8" width="12.5703125" bestFit="1" customWidth="1"/>
  </cols>
  <sheetData>
    <row r="1" spans="1:8" ht="18.75" customHeight="1">
      <c r="A1" s="313" t="s">
        <v>0</v>
      </c>
      <c r="B1" s="313"/>
      <c r="C1" s="313"/>
      <c r="D1" s="313"/>
      <c r="E1" s="5"/>
      <c r="F1" s="5"/>
      <c r="G1" s="5"/>
      <c r="H1" s="5"/>
    </row>
    <row r="2" spans="1:8" ht="18.75">
      <c r="A2" s="310" t="s">
        <v>1</v>
      </c>
      <c r="B2" s="310"/>
      <c r="C2" s="310"/>
      <c r="D2" s="310"/>
      <c r="E2" s="6"/>
      <c r="F2" s="6"/>
      <c r="G2" s="6"/>
      <c r="H2" s="6"/>
    </row>
    <row r="4" spans="1:8" ht="15" customHeight="1">
      <c r="A4" s="347" t="s">
        <v>463</v>
      </c>
      <c r="B4" s="347"/>
      <c r="C4" s="347"/>
      <c r="D4" s="347"/>
      <c r="E4" s="249"/>
      <c r="F4" s="249"/>
      <c r="G4" s="249"/>
      <c r="H4" s="249"/>
    </row>
    <row r="5" spans="1:8" ht="49.5" customHeight="1">
      <c r="A5" s="315" t="s">
        <v>124</v>
      </c>
      <c r="B5" s="315"/>
      <c r="C5" s="315"/>
      <c r="D5" s="315"/>
      <c r="E5" s="7"/>
      <c r="F5" s="7"/>
      <c r="G5" s="7"/>
      <c r="H5" s="7"/>
    </row>
    <row r="7" spans="1:8">
      <c r="A7" s="366" t="s">
        <v>382</v>
      </c>
      <c r="B7" s="353"/>
      <c r="C7" s="353"/>
      <c r="D7" s="353"/>
    </row>
    <row r="8" spans="1:8" ht="15.75" thickBot="1">
      <c r="A8" s="222"/>
      <c r="C8" s="223"/>
    </row>
    <row r="9" spans="1:8">
      <c r="A9" s="221" t="s">
        <v>6</v>
      </c>
      <c r="B9" s="224" t="s">
        <v>383</v>
      </c>
      <c r="C9" s="225" t="s">
        <v>7</v>
      </c>
      <c r="D9" s="226" t="s">
        <v>8</v>
      </c>
    </row>
    <row r="10" spans="1:8" ht="64.5">
      <c r="A10" s="227">
        <v>1</v>
      </c>
      <c r="B10" s="228" t="s">
        <v>384</v>
      </c>
      <c r="C10" s="229" t="s">
        <v>385</v>
      </c>
      <c r="D10" s="230">
        <v>1000</v>
      </c>
    </row>
    <row r="11" spans="1:8" ht="39">
      <c r="A11" s="227">
        <v>2</v>
      </c>
      <c r="B11" s="228" t="s">
        <v>386</v>
      </c>
      <c r="C11" s="229" t="s">
        <v>385</v>
      </c>
      <c r="D11" s="230">
        <v>1500</v>
      </c>
    </row>
    <row r="12" spans="1:8" ht="51.75">
      <c r="A12" s="227">
        <v>3</v>
      </c>
      <c r="B12" s="231" t="s">
        <v>387</v>
      </c>
      <c r="C12" s="229" t="s">
        <v>388</v>
      </c>
      <c r="D12" s="230">
        <v>350</v>
      </c>
    </row>
    <row r="13" spans="1:8">
      <c r="A13" s="227">
        <v>4</v>
      </c>
      <c r="B13" s="232" t="s">
        <v>389</v>
      </c>
      <c r="C13" s="229" t="s">
        <v>390</v>
      </c>
      <c r="D13" s="230">
        <v>60</v>
      </c>
    </row>
    <row r="14" spans="1:8">
      <c r="A14" s="227">
        <v>5</v>
      </c>
      <c r="B14" s="232" t="s">
        <v>391</v>
      </c>
      <c r="C14" s="229" t="s">
        <v>385</v>
      </c>
      <c r="D14" s="230">
        <v>400</v>
      </c>
    </row>
    <row r="15" spans="1:8" ht="26.25">
      <c r="A15" s="227">
        <v>6</v>
      </c>
      <c r="B15" s="232" t="s">
        <v>392</v>
      </c>
      <c r="C15" s="229" t="s">
        <v>385</v>
      </c>
      <c r="D15" s="230">
        <v>1500</v>
      </c>
    </row>
    <row r="16" spans="1:8">
      <c r="A16" s="227">
        <v>7</v>
      </c>
      <c r="B16" s="232" t="s">
        <v>393</v>
      </c>
      <c r="C16" s="229" t="s">
        <v>385</v>
      </c>
      <c r="D16" s="230">
        <v>1500</v>
      </c>
    </row>
    <row r="17" spans="1:4" ht="26.25">
      <c r="A17" s="227">
        <v>8</v>
      </c>
      <c r="B17" s="232" t="s">
        <v>394</v>
      </c>
      <c r="C17" s="229" t="s">
        <v>385</v>
      </c>
      <c r="D17" s="230">
        <v>1500</v>
      </c>
    </row>
    <row r="18" spans="1:4">
      <c r="A18" s="227">
        <v>9</v>
      </c>
      <c r="B18" s="232" t="s">
        <v>395</v>
      </c>
      <c r="C18" s="229" t="s">
        <v>11</v>
      </c>
      <c r="D18" s="230">
        <v>400</v>
      </c>
    </row>
    <row r="19" spans="1:4">
      <c r="A19" s="227">
        <v>10</v>
      </c>
      <c r="B19" s="232" t="s">
        <v>396</v>
      </c>
      <c r="C19" s="229" t="s">
        <v>11</v>
      </c>
      <c r="D19" s="230">
        <v>400</v>
      </c>
    </row>
    <row r="20" spans="1:4" ht="26.25">
      <c r="A20" s="227">
        <v>11</v>
      </c>
      <c r="B20" s="231" t="s">
        <v>397</v>
      </c>
      <c r="C20" s="229" t="s">
        <v>11</v>
      </c>
      <c r="D20" s="233">
        <v>400</v>
      </c>
    </row>
    <row r="21" spans="1:4" ht="26.25">
      <c r="A21" s="227">
        <v>12</v>
      </c>
      <c r="B21" s="232" t="s">
        <v>398</v>
      </c>
      <c r="C21" s="229" t="s">
        <v>385</v>
      </c>
      <c r="D21" s="230">
        <v>1000</v>
      </c>
    </row>
    <row r="22" spans="1:4" ht="39">
      <c r="A22" s="227">
        <v>13</v>
      </c>
      <c r="B22" s="228" t="s">
        <v>399</v>
      </c>
      <c r="C22" s="229" t="s">
        <v>388</v>
      </c>
      <c r="D22" s="230">
        <v>1000</v>
      </c>
    </row>
    <row r="23" spans="1:4" ht="26.25">
      <c r="A23" s="227">
        <v>14</v>
      </c>
      <c r="B23" s="231" t="s">
        <v>400</v>
      </c>
      <c r="C23" s="229" t="s">
        <v>401</v>
      </c>
      <c r="D23" s="230">
        <v>400</v>
      </c>
    </row>
    <row r="24" spans="1:4" ht="39">
      <c r="A24" s="227">
        <v>15</v>
      </c>
      <c r="B24" s="231" t="s">
        <v>402</v>
      </c>
      <c r="C24" s="229" t="s">
        <v>403</v>
      </c>
      <c r="D24" s="230">
        <v>180</v>
      </c>
    </row>
    <row r="25" spans="1:4" ht="26.25">
      <c r="A25" s="227">
        <v>16</v>
      </c>
      <c r="B25" s="232" t="s">
        <v>404</v>
      </c>
      <c r="C25" s="229" t="s">
        <v>11</v>
      </c>
      <c r="D25" s="230">
        <v>500</v>
      </c>
    </row>
    <row r="26" spans="1:4">
      <c r="A26" s="227">
        <v>17</v>
      </c>
      <c r="B26" s="232" t="s">
        <v>405</v>
      </c>
      <c r="C26" s="229" t="s">
        <v>11</v>
      </c>
      <c r="D26" s="233">
        <v>1500</v>
      </c>
    </row>
    <row r="27" spans="1:4" ht="26.25">
      <c r="A27" s="227">
        <v>18</v>
      </c>
      <c r="B27" s="232" t="s">
        <v>406</v>
      </c>
      <c r="C27" s="229" t="s">
        <v>401</v>
      </c>
      <c r="D27" s="230">
        <v>3000</v>
      </c>
    </row>
    <row r="28" spans="1:4" ht="39">
      <c r="A28" s="227">
        <v>19</v>
      </c>
      <c r="B28" s="228" t="s">
        <v>407</v>
      </c>
      <c r="C28" s="229" t="s">
        <v>408</v>
      </c>
      <c r="D28" s="230">
        <v>3000</v>
      </c>
    </row>
    <row r="29" spans="1:4" ht="25.5">
      <c r="A29" s="227">
        <v>20</v>
      </c>
      <c r="B29" s="234" t="s">
        <v>409</v>
      </c>
      <c r="C29" s="229" t="s">
        <v>410</v>
      </c>
      <c r="D29" s="230">
        <v>1500</v>
      </c>
    </row>
    <row r="30" spans="1:4" ht="38.25">
      <c r="A30" s="227">
        <v>21</v>
      </c>
      <c r="B30" s="235" t="s">
        <v>411</v>
      </c>
      <c r="C30" s="229" t="s">
        <v>412</v>
      </c>
      <c r="D30" s="230">
        <v>1000</v>
      </c>
    </row>
    <row r="31" spans="1:4">
      <c r="A31" s="227">
        <v>22</v>
      </c>
      <c r="B31" s="232" t="s">
        <v>413</v>
      </c>
      <c r="C31" s="229" t="s">
        <v>414</v>
      </c>
      <c r="D31" s="230">
        <v>100</v>
      </c>
    </row>
    <row r="32" spans="1:4">
      <c r="A32" s="227">
        <v>23</v>
      </c>
      <c r="B32" s="232" t="s">
        <v>415</v>
      </c>
      <c r="C32" s="229" t="s">
        <v>11</v>
      </c>
      <c r="D32" s="230">
        <v>100</v>
      </c>
    </row>
    <row r="33" spans="1:4">
      <c r="A33" s="227">
        <v>24</v>
      </c>
      <c r="B33" s="232" t="s">
        <v>416</v>
      </c>
      <c r="C33" s="229" t="s">
        <v>385</v>
      </c>
      <c r="D33" s="230">
        <v>150</v>
      </c>
    </row>
    <row r="34" spans="1:4" ht="39">
      <c r="A34" s="227">
        <v>25</v>
      </c>
      <c r="B34" s="231" t="s">
        <v>417</v>
      </c>
      <c r="C34" s="229" t="s">
        <v>414</v>
      </c>
      <c r="D34" s="230">
        <v>400</v>
      </c>
    </row>
    <row r="35" spans="1:4" ht="39">
      <c r="A35" s="227">
        <v>26</v>
      </c>
      <c r="B35" s="228" t="s">
        <v>418</v>
      </c>
      <c r="C35" s="229" t="s">
        <v>419</v>
      </c>
      <c r="D35" s="230">
        <v>1500</v>
      </c>
    </row>
    <row r="36" spans="1:4" ht="39">
      <c r="A36" s="227">
        <v>27</v>
      </c>
      <c r="B36" s="231" t="s">
        <v>420</v>
      </c>
      <c r="C36" s="229" t="s">
        <v>421</v>
      </c>
      <c r="D36" s="230">
        <v>100</v>
      </c>
    </row>
    <row r="37" spans="1:4" ht="26.25">
      <c r="A37" s="227">
        <v>28</v>
      </c>
      <c r="B37" s="236" t="s">
        <v>422</v>
      </c>
      <c r="C37" s="237" t="s">
        <v>421</v>
      </c>
      <c r="D37" s="238">
        <v>80</v>
      </c>
    </row>
    <row r="38" spans="1:4" ht="39">
      <c r="A38" s="227">
        <v>29</v>
      </c>
      <c r="B38" s="231" t="s">
        <v>423</v>
      </c>
      <c r="C38" s="229" t="s">
        <v>421</v>
      </c>
      <c r="D38" s="230">
        <v>80</v>
      </c>
    </row>
    <row r="39" spans="1:4" ht="39">
      <c r="A39" s="227">
        <v>30</v>
      </c>
      <c r="B39" s="231" t="s">
        <v>424</v>
      </c>
      <c r="C39" s="229" t="s">
        <v>421</v>
      </c>
      <c r="D39" s="230">
        <v>80</v>
      </c>
    </row>
    <row r="40" spans="1:4" ht="39">
      <c r="A40" s="227">
        <v>31</v>
      </c>
      <c r="B40" s="231" t="s">
        <v>425</v>
      </c>
      <c r="C40" s="229" t="s">
        <v>421</v>
      </c>
      <c r="D40" s="230">
        <v>80</v>
      </c>
    </row>
    <row r="41" spans="1:4">
      <c r="A41" s="227">
        <v>32</v>
      </c>
      <c r="B41" s="232" t="s">
        <v>426</v>
      </c>
      <c r="C41" s="229" t="s">
        <v>11</v>
      </c>
      <c r="D41" s="230">
        <v>1000</v>
      </c>
    </row>
    <row r="42" spans="1:4">
      <c r="A42" s="227">
        <v>33</v>
      </c>
      <c r="B42" s="234" t="s">
        <v>427</v>
      </c>
      <c r="C42" s="229" t="s">
        <v>385</v>
      </c>
      <c r="D42" s="230">
        <v>100</v>
      </c>
    </row>
    <row r="43" spans="1:4" ht="15.75" thickBot="1">
      <c r="A43" s="227">
        <v>34</v>
      </c>
      <c r="B43" s="232" t="s">
        <v>428</v>
      </c>
      <c r="C43" s="229" t="s">
        <v>385</v>
      </c>
      <c r="D43" s="230">
        <v>30</v>
      </c>
    </row>
    <row r="44" spans="1:4" ht="25.5">
      <c r="A44" s="221" t="s">
        <v>6</v>
      </c>
      <c r="B44" s="239" t="s">
        <v>429</v>
      </c>
      <c r="C44" s="225" t="s">
        <v>7</v>
      </c>
      <c r="D44" s="226" t="s">
        <v>8</v>
      </c>
    </row>
    <row r="45" spans="1:4">
      <c r="A45" s="227">
        <v>35</v>
      </c>
      <c r="B45" s="240" t="s">
        <v>430</v>
      </c>
      <c r="C45" s="229" t="s">
        <v>11</v>
      </c>
      <c r="D45" s="241">
        <v>400</v>
      </c>
    </row>
    <row r="46" spans="1:4">
      <c r="A46" s="227">
        <v>36</v>
      </c>
      <c r="B46" s="240" t="s">
        <v>431</v>
      </c>
      <c r="C46" s="229" t="s">
        <v>11</v>
      </c>
      <c r="D46" s="241">
        <v>400</v>
      </c>
    </row>
    <row r="47" spans="1:4">
      <c r="A47" s="227">
        <v>37</v>
      </c>
      <c r="B47" s="232" t="s">
        <v>432</v>
      </c>
      <c r="C47" s="229" t="s">
        <v>11</v>
      </c>
      <c r="D47" s="233">
        <v>180</v>
      </c>
    </row>
    <row r="48" spans="1:4">
      <c r="A48" s="227">
        <v>38</v>
      </c>
      <c r="B48" s="232" t="s">
        <v>433</v>
      </c>
      <c r="C48" s="229" t="s">
        <v>11</v>
      </c>
      <c r="D48" s="233">
        <v>180</v>
      </c>
    </row>
    <row r="49" spans="1:4">
      <c r="A49" s="227">
        <v>39</v>
      </c>
      <c r="B49" s="232" t="s">
        <v>434</v>
      </c>
      <c r="C49" s="229" t="s">
        <v>11</v>
      </c>
      <c r="D49" s="230">
        <v>80</v>
      </c>
    </row>
    <row r="50" spans="1:4">
      <c r="A50" s="227">
        <v>40</v>
      </c>
      <c r="B50" s="232" t="s">
        <v>435</v>
      </c>
      <c r="C50" s="229" t="s">
        <v>11</v>
      </c>
      <c r="D50" s="230">
        <v>80</v>
      </c>
    </row>
    <row r="51" spans="1:4">
      <c r="A51" s="227">
        <v>41</v>
      </c>
      <c r="B51" s="232" t="s">
        <v>436</v>
      </c>
      <c r="C51" s="229" t="s">
        <v>11</v>
      </c>
      <c r="D51" s="230">
        <v>80</v>
      </c>
    </row>
    <row r="52" spans="1:4">
      <c r="A52" s="227">
        <v>42</v>
      </c>
      <c r="B52" s="232" t="s">
        <v>437</v>
      </c>
      <c r="C52" s="229" t="s">
        <v>11</v>
      </c>
      <c r="D52" s="230">
        <v>80</v>
      </c>
    </row>
    <row r="53" spans="1:4">
      <c r="A53" s="227">
        <v>43</v>
      </c>
      <c r="B53" s="232" t="s">
        <v>438</v>
      </c>
      <c r="C53" s="229" t="s">
        <v>11</v>
      </c>
      <c r="D53" s="230">
        <v>40</v>
      </c>
    </row>
    <row r="54" spans="1:4">
      <c r="A54" s="227">
        <v>44</v>
      </c>
      <c r="B54" s="240" t="s">
        <v>444</v>
      </c>
      <c r="C54" s="229" t="s">
        <v>11</v>
      </c>
      <c r="D54" s="241">
        <v>150</v>
      </c>
    </row>
    <row r="55" spans="1:4">
      <c r="A55" s="227">
        <v>45</v>
      </c>
      <c r="B55" s="232" t="s">
        <v>445</v>
      </c>
      <c r="C55" s="229" t="s">
        <v>11</v>
      </c>
      <c r="D55" s="233">
        <v>80</v>
      </c>
    </row>
    <row r="56" spans="1:4">
      <c r="A56" s="227">
        <v>46</v>
      </c>
      <c r="B56" s="240" t="s">
        <v>446</v>
      </c>
      <c r="C56" s="229" t="s">
        <v>11</v>
      </c>
      <c r="D56" s="241">
        <v>45</v>
      </c>
    </row>
    <row r="57" spans="1:4" ht="77.25">
      <c r="A57" s="227">
        <v>47</v>
      </c>
      <c r="B57" s="231" t="s">
        <v>447</v>
      </c>
      <c r="C57" s="229" t="s">
        <v>11</v>
      </c>
      <c r="D57" s="241">
        <v>10</v>
      </c>
    </row>
    <row r="58" spans="1:4">
      <c r="A58" s="227">
        <v>48</v>
      </c>
      <c r="B58" s="232" t="s">
        <v>448</v>
      </c>
      <c r="C58" s="229" t="s">
        <v>13</v>
      </c>
      <c r="D58" s="233">
        <v>980</v>
      </c>
    </row>
    <row r="59" spans="1:4">
      <c r="A59" s="227">
        <v>49</v>
      </c>
      <c r="B59" s="242" t="s">
        <v>449</v>
      </c>
      <c r="C59" s="243" t="s">
        <v>13</v>
      </c>
      <c r="D59" s="244">
        <v>500</v>
      </c>
    </row>
    <row r="60" spans="1:4" ht="26.25">
      <c r="A60" s="227">
        <v>50</v>
      </c>
      <c r="B60" s="232" t="s">
        <v>450</v>
      </c>
      <c r="C60" s="229" t="s">
        <v>11</v>
      </c>
      <c r="D60" s="233">
        <v>25</v>
      </c>
    </row>
    <row r="61" spans="1:4" ht="26.25">
      <c r="A61" s="227">
        <v>51</v>
      </c>
      <c r="B61" s="232" t="s">
        <v>451</v>
      </c>
      <c r="C61" s="229" t="s">
        <v>11</v>
      </c>
      <c r="D61" s="233">
        <v>15</v>
      </c>
    </row>
    <row r="62" spans="1:4">
      <c r="A62" s="227">
        <v>52</v>
      </c>
      <c r="B62" s="234" t="s">
        <v>452</v>
      </c>
      <c r="C62" s="229" t="s">
        <v>11</v>
      </c>
      <c r="D62" s="233">
        <v>180</v>
      </c>
    </row>
    <row r="63" spans="1:4">
      <c r="A63" s="227">
        <v>53</v>
      </c>
      <c r="B63" s="232" t="s">
        <v>453</v>
      </c>
      <c r="C63" s="229" t="s">
        <v>11</v>
      </c>
      <c r="D63" s="230">
        <v>60</v>
      </c>
    </row>
    <row r="64" spans="1:4">
      <c r="A64" s="227">
        <v>54</v>
      </c>
      <c r="B64" s="240" t="s">
        <v>454</v>
      </c>
      <c r="C64" s="229" t="s">
        <v>11</v>
      </c>
      <c r="D64" s="241">
        <v>350</v>
      </c>
    </row>
    <row r="65" spans="1:4">
      <c r="A65" s="227">
        <v>55</v>
      </c>
      <c r="B65" s="240" t="s">
        <v>455</v>
      </c>
      <c r="C65" s="229" t="s">
        <v>11</v>
      </c>
      <c r="D65" s="241">
        <v>160</v>
      </c>
    </row>
    <row r="66" spans="1:4">
      <c r="A66" s="227">
        <v>56</v>
      </c>
      <c r="B66" s="240" t="s">
        <v>456</v>
      </c>
      <c r="C66" s="229" t="s">
        <v>11</v>
      </c>
      <c r="D66" s="233">
        <v>250</v>
      </c>
    </row>
    <row r="67" spans="1:4">
      <c r="A67" s="227">
        <v>57</v>
      </c>
      <c r="B67" s="240" t="s">
        <v>457</v>
      </c>
      <c r="C67" s="229" t="s">
        <v>11</v>
      </c>
      <c r="D67" s="233">
        <v>250</v>
      </c>
    </row>
    <row r="68" spans="1:4">
      <c r="A68" s="227">
        <v>58</v>
      </c>
      <c r="B68" s="240" t="s">
        <v>458</v>
      </c>
      <c r="C68" s="229" t="s">
        <v>11</v>
      </c>
      <c r="D68" s="233">
        <v>250</v>
      </c>
    </row>
    <row r="69" spans="1:4">
      <c r="A69" s="227">
        <v>59</v>
      </c>
      <c r="B69" s="240" t="s">
        <v>459</v>
      </c>
      <c r="C69" s="229" t="s">
        <v>11</v>
      </c>
      <c r="D69" s="233">
        <v>450</v>
      </c>
    </row>
    <row r="70" spans="1:4" ht="26.25" thickBot="1">
      <c r="A70" s="227">
        <v>60</v>
      </c>
      <c r="B70" s="245" t="s">
        <v>460</v>
      </c>
      <c r="C70" s="246" t="s">
        <v>11</v>
      </c>
      <c r="D70" s="247">
        <v>145</v>
      </c>
    </row>
    <row r="71" spans="1:4">
      <c r="A71" s="248"/>
      <c r="B71" s="146"/>
      <c r="C71" s="163"/>
      <c r="D71" s="146"/>
    </row>
    <row r="72" spans="1:4">
      <c r="A72" s="367" t="s">
        <v>312</v>
      </c>
      <c r="B72" s="327"/>
      <c r="C72" s="327"/>
      <c r="D72" s="146"/>
    </row>
    <row r="73" spans="1:4" ht="68.25" customHeight="1">
      <c r="A73" s="368" t="s">
        <v>461</v>
      </c>
      <c r="B73" s="327"/>
      <c r="C73" s="327"/>
      <c r="D73" s="327"/>
    </row>
    <row r="74" spans="1:4" ht="57" customHeight="1">
      <c r="A74" s="364" t="s">
        <v>462</v>
      </c>
      <c r="B74" s="327"/>
      <c r="C74" s="327"/>
      <c r="D74" s="327"/>
    </row>
    <row r="75" spans="1:4" ht="44.25" customHeight="1">
      <c r="A75" s="365" t="s">
        <v>381</v>
      </c>
      <c r="B75" s="327"/>
      <c r="C75" s="327"/>
      <c r="D75" s="327"/>
    </row>
  </sheetData>
  <mergeCells count="9">
    <mergeCell ref="A74:D74"/>
    <mergeCell ref="A75:D75"/>
    <mergeCell ref="A5:D5"/>
    <mergeCell ref="A4:D4"/>
    <mergeCell ref="A1:D1"/>
    <mergeCell ref="A2:D2"/>
    <mergeCell ref="A7:D7"/>
    <mergeCell ref="A72:C72"/>
    <mergeCell ref="A73:D73"/>
  </mergeCells>
  <pageMargins left="0.511811024" right="0.511811024" top="0.78740157499999996" bottom="0.78740157499999996" header="0.31496062000000002" footer="0.31496062000000002"/>
  <pageSetup paperSize="9" scale="93" orientation="portrait" r:id="rId1"/>
  <headerFooter>
    <oddHeader>&amp;L&amp;G&amp;CProcesso 23069.170673/2021-70
PE 32/2022&amp;R&amp;G</oddHeader>
    <oddFooter>&amp;L&amp;"-,Itálico"&amp;9&amp;A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FB3A60-D5A4-4ECA-8066-B25420DC2F2B}">
  <dimension ref="A1:K159"/>
  <sheetViews>
    <sheetView topLeftCell="A37" zoomScaleNormal="100" workbookViewId="0">
      <selection activeCell="F34" sqref="F34"/>
    </sheetView>
  </sheetViews>
  <sheetFormatPr defaultColWidth="8.85546875" defaultRowHeight="15"/>
  <cols>
    <col min="1" max="1" width="9.5703125" bestFit="1" customWidth="1"/>
    <col min="2" max="2" width="62.140625" bestFit="1" customWidth="1"/>
    <col min="3" max="3" width="11.140625" bestFit="1" customWidth="1"/>
    <col min="4" max="7" width="18.42578125" bestFit="1" customWidth="1"/>
    <col min="9" max="9" width="11.140625" bestFit="1" customWidth="1"/>
    <col min="10" max="10" width="12.7109375" bestFit="1" customWidth="1"/>
    <col min="11" max="11" width="10.5703125" bestFit="1" customWidth="1"/>
  </cols>
  <sheetData>
    <row r="1" spans="1:7" ht="18" customHeight="1">
      <c r="A1" s="309" t="s">
        <v>0</v>
      </c>
      <c r="B1" s="309"/>
      <c r="C1" s="309"/>
      <c r="D1" s="309"/>
      <c r="E1" s="309"/>
      <c r="F1" s="309"/>
      <c r="G1" s="309"/>
    </row>
    <row r="2" spans="1:7" ht="18.75">
      <c r="A2" s="369" t="s">
        <v>1</v>
      </c>
      <c r="B2" s="369"/>
      <c r="C2" s="369"/>
      <c r="D2" s="369"/>
      <c r="E2" s="369"/>
      <c r="F2" s="369"/>
      <c r="G2" s="369"/>
    </row>
    <row r="4" spans="1:7" ht="14.45" customHeight="1">
      <c r="A4" s="370" t="s">
        <v>125</v>
      </c>
      <c r="B4" s="370"/>
      <c r="C4" s="370"/>
      <c r="D4" s="370"/>
      <c r="E4" s="370"/>
      <c r="F4" s="370"/>
      <c r="G4" s="370"/>
    </row>
    <row r="5" spans="1:7" ht="38.450000000000003" customHeight="1">
      <c r="A5" s="308" t="s">
        <v>124</v>
      </c>
      <c r="B5" s="308"/>
      <c r="C5" s="308"/>
      <c r="D5" s="308"/>
      <c r="E5" s="308"/>
      <c r="F5" s="308"/>
      <c r="G5" s="308"/>
    </row>
    <row r="6" spans="1:7">
      <c r="A6" s="371" t="s">
        <v>14</v>
      </c>
      <c r="B6" s="371"/>
      <c r="C6" s="371"/>
      <c r="D6" s="371"/>
      <c r="E6" s="371"/>
      <c r="F6" s="371"/>
      <c r="G6" s="371"/>
    </row>
    <row r="7" spans="1:7" ht="15.75" thickBot="1">
      <c r="A7" s="371" t="s">
        <v>15</v>
      </c>
      <c r="B7" s="371"/>
      <c r="C7" s="371"/>
      <c r="D7" s="371"/>
      <c r="E7" s="371"/>
      <c r="F7" s="371"/>
      <c r="G7" s="371"/>
    </row>
    <row r="8" spans="1:7">
      <c r="A8" s="372" t="s">
        <v>126</v>
      </c>
      <c r="B8" s="373"/>
      <c r="C8" s="374" t="s">
        <v>127</v>
      </c>
      <c r="D8" s="374"/>
      <c r="E8" s="374"/>
      <c r="F8" s="374"/>
      <c r="G8" s="375"/>
    </row>
    <row r="9" spans="1:7" ht="15.75" thickBot="1">
      <c r="A9" s="376"/>
      <c r="B9" s="377"/>
      <c r="C9" s="378"/>
      <c r="D9" s="378"/>
      <c r="E9" s="378"/>
      <c r="F9" s="378"/>
      <c r="G9" s="379"/>
    </row>
    <row r="10" spans="1:7" ht="15.75" thickBot="1">
      <c r="A10" s="8"/>
      <c r="B10" s="24"/>
      <c r="C10" s="25"/>
      <c r="D10" s="25"/>
      <c r="E10" s="25"/>
    </row>
    <row r="11" spans="1:7">
      <c r="A11" s="388" t="s">
        <v>128</v>
      </c>
      <c r="B11" s="389"/>
      <c r="C11" s="389"/>
      <c r="D11" s="389"/>
      <c r="E11" s="389"/>
      <c r="F11" s="389"/>
      <c r="G11" s="390"/>
    </row>
    <row r="12" spans="1:7">
      <c r="A12" s="391" t="s">
        <v>129</v>
      </c>
      <c r="B12" s="392"/>
      <c r="C12" s="393"/>
      <c r="D12" s="393"/>
      <c r="E12" s="393"/>
      <c r="F12" s="393"/>
      <c r="G12" s="394"/>
    </row>
    <row r="13" spans="1:7">
      <c r="A13" s="391" t="s">
        <v>130</v>
      </c>
      <c r="B13" s="392"/>
      <c r="C13" s="393"/>
      <c r="D13" s="393"/>
      <c r="E13" s="393"/>
      <c r="F13" s="393"/>
      <c r="G13" s="394"/>
    </row>
    <row r="14" spans="1:7">
      <c r="A14" s="415" t="s">
        <v>131</v>
      </c>
      <c r="B14" s="416"/>
      <c r="C14" s="393"/>
      <c r="D14" s="393"/>
      <c r="E14" s="393"/>
      <c r="F14" s="393"/>
      <c r="G14" s="394"/>
    </row>
    <row r="15" spans="1:7">
      <c r="A15" s="391" t="s">
        <v>132</v>
      </c>
      <c r="B15" s="392"/>
      <c r="C15" s="393"/>
      <c r="D15" s="393"/>
      <c r="E15" s="393"/>
      <c r="F15" s="393"/>
      <c r="G15" s="394"/>
    </row>
    <row r="16" spans="1:7" ht="15.75" thickBot="1">
      <c r="A16" s="380" t="s">
        <v>133</v>
      </c>
      <c r="B16" s="381"/>
      <c r="C16" s="382"/>
      <c r="D16" s="382"/>
      <c r="E16" s="382"/>
      <c r="F16" s="382"/>
      <c r="G16" s="383"/>
    </row>
    <row r="17" spans="1:7" ht="15.75" thickBot="1">
      <c r="A17" s="8"/>
      <c r="B17" s="24"/>
      <c r="C17" s="25"/>
      <c r="D17" s="25"/>
      <c r="E17" s="25"/>
    </row>
    <row r="18" spans="1:7">
      <c r="A18" s="407" t="s">
        <v>134</v>
      </c>
      <c r="B18" s="408"/>
      <c r="C18" s="408"/>
      <c r="D18" s="409"/>
      <c r="E18" s="26"/>
      <c r="F18" s="26"/>
      <c r="G18" s="26"/>
    </row>
    <row r="19" spans="1:7">
      <c r="A19" s="27" t="s">
        <v>135</v>
      </c>
      <c r="B19" s="28" t="s">
        <v>136</v>
      </c>
      <c r="C19" s="29" t="s">
        <v>137</v>
      </c>
      <c r="D19" s="30" t="s">
        <v>138</v>
      </c>
      <c r="E19" s="25"/>
    </row>
    <row r="20" spans="1:7">
      <c r="A20" s="31">
        <v>20.88</v>
      </c>
      <c r="B20" s="32" t="s">
        <v>119</v>
      </c>
      <c r="C20" s="33" t="s">
        <v>139</v>
      </c>
      <c r="D20" s="34">
        <v>1430</v>
      </c>
      <c r="E20" s="25"/>
    </row>
    <row r="21" spans="1:7">
      <c r="A21" s="31">
        <v>15.21</v>
      </c>
      <c r="B21" s="32" t="s">
        <v>140</v>
      </c>
      <c r="C21" s="33" t="s">
        <v>139</v>
      </c>
      <c r="D21" s="34">
        <v>1430</v>
      </c>
      <c r="E21" s="25"/>
    </row>
    <row r="22" spans="1:7" ht="15.75" thickBot="1">
      <c r="A22" s="35">
        <v>20.88</v>
      </c>
      <c r="B22" s="36" t="s">
        <v>121</v>
      </c>
      <c r="C22" s="37" t="s">
        <v>555</v>
      </c>
      <c r="D22" s="38">
        <v>1785.94</v>
      </c>
      <c r="E22" s="25"/>
    </row>
    <row r="23" spans="1:7">
      <c r="A23" s="8"/>
      <c r="B23" s="9"/>
      <c r="C23" s="9"/>
      <c r="D23" s="9"/>
    </row>
    <row r="24" spans="1:7">
      <c r="A24" s="8"/>
      <c r="B24" s="8"/>
      <c r="C24" s="9"/>
      <c r="D24" s="10"/>
      <c r="E24" s="10"/>
    </row>
    <row r="25" spans="1:7" ht="15.75" thickBot="1">
      <c r="A25" s="8"/>
      <c r="B25" s="8"/>
      <c r="C25" s="10"/>
      <c r="D25" s="10"/>
      <c r="E25" s="10"/>
    </row>
    <row r="26" spans="1:7">
      <c r="A26" s="410" t="s">
        <v>16</v>
      </c>
      <c r="B26" s="411"/>
      <c r="C26" s="412"/>
      <c r="D26" s="39" t="s">
        <v>141</v>
      </c>
      <c r="E26" s="40" t="s">
        <v>142</v>
      </c>
      <c r="F26" s="40" t="s">
        <v>143</v>
      </c>
      <c r="G26" s="41" t="s">
        <v>144</v>
      </c>
    </row>
    <row r="27" spans="1:7">
      <c r="A27" s="42">
        <v>1</v>
      </c>
      <c r="B27" s="413" t="s">
        <v>17</v>
      </c>
      <c r="C27" s="414"/>
      <c r="D27" s="43" t="s">
        <v>18</v>
      </c>
      <c r="E27" s="43" t="s">
        <v>18</v>
      </c>
      <c r="F27" s="43" t="s">
        <v>18</v>
      </c>
      <c r="G27" s="44" t="s">
        <v>18</v>
      </c>
    </row>
    <row r="28" spans="1:7">
      <c r="A28" s="45" t="s">
        <v>19</v>
      </c>
      <c r="B28" s="398" t="s">
        <v>20</v>
      </c>
      <c r="C28" s="399"/>
      <c r="D28" s="46">
        <f>D20</f>
        <v>1430</v>
      </c>
      <c r="E28" s="47">
        <f>D21</f>
        <v>1430</v>
      </c>
      <c r="F28" s="48">
        <f>D20</f>
        <v>1430</v>
      </c>
      <c r="G28" s="49">
        <f>D22</f>
        <v>1785.94</v>
      </c>
    </row>
    <row r="29" spans="1:7">
      <c r="A29" s="45" t="s">
        <v>21</v>
      </c>
      <c r="B29" s="398" t="s">
        <v>22</v>
      </c>
      <c r="C29" s="399"/>
      <c r="D29" s="50"/>
      <c r="E29" s="51"/>
      <c r="F29" s="52"/>
      <c r="G29" s="53"/>
    </row>
    <row r="30" spans="1:7">
      <c r="A30" s="45" t="s">
        <v>23</v>
      </c>
      <c r="B30" s="398" t="s">
        <v>145</v>
      </c>
      <c r="C30" s="399"/>
      <c r="D30" s="50"/>
      <c r="E30" s="51"/>
      <c r="F30" s="54"/>
      <c r="G30" s="53"/>
    </row>
    <row r="31" spans="1:7">
      <c r="A31" s="45" t="s">
        <v>24</v>
      </c>
      <c r="B31" s="405" t="s">
        <v>25</v>
      </c>
      <c r="C31" s="406"/>
      <c r="D31" s="50"/>
      <c r="E31" s="51"/>
      <c r="F31" s="52"/>
      <c r="G31" s="53"/>
    </row>
    <row r="32" spans="1:7">
      <c r="A32" s="45" t="s">
        <v>26</v>
      </c>
      <c r="B32" s="405" t="s">
        <v>27</v>
      </c>
      <c r="C32" s="406"/>
      <c r="D32" s="50"/>
      <c r="E32" s="51"/>
      <c r="F32" s="52"/>
      <c r="G32" s="53"/>
    </row>
    <row r="33" spans="1:7">
      <c r="A33" s="45" t="s">
        <v>28</v>
      </c>
      <c r="B33" s="400" t="s">
        <v>146</v>
      </c>
      <c r="C33" s="401"/>
      <c r="D33" s="55"/>
      <c r="E33" s="51"/>
      <c r="F33" s="48">
        <f>15%*D20</f>
        <v>214.5</v>
      </c>
      <c r="G33" s="49">
        <f>30%*D20</f>
        <v>429</v>
      </c>
    </row>
    <row r="34" spans="1:7" ht="15.75" thickBot="1">
      <c r="A34" s="56"/>
      <c r="B34" s="402" t="s">
        <v>30</v>
      </c>
      <c r="C34" s="403"/>
      <c r="D34" s="57">
        <f>SUM(D28:D33)</f>
        <v>1430</v>
      </c>
      <c r="E34" s="57">
        <f t="shared" ref="E34:G34" si="0">SUM(E28:E33)</f>
        <v>1430</v>
      </c>
      <c r="F34" s="57">
        <f t="shared" si="0"/>
        <v>1644.5</v>
      </c>
      <c r="G34" s="58">
        <f t="shared" si="0"/>
        <v>2214.94</v>
      </c>
    </row>
    <row r="35" spans="1:7">
      <c r="A35" s="8"/>
      <c r="B35" s="404"/>
      <c r="C35" s="404"/>
      <c r="D35" s="404"/>
      <c r="E35" s="10"/>
    </row>
    <row r="36" spans="1:7">
      <c r="A36" s="385" t="s">
        <v>31</v>
      </c>
      <c r="B36" s="385"/>
      <c r="C36" s="385"/>
      <c r="D36" s="59" t="s">
        <v>141</v>
      </c>
      <c r="E36" s="60" t="s">
        <v>142</v>
      </c>
      <c r="F36" s="60" t="s">
        <v>143</v>
      </c>
      <c r="G36" s="60" t="s">
        <v>144</v>
      </c>
    </row>
    <row r="37" spans="1:7">
      <c r="A37" s="395" t="s">
        <v>32</v>
      </c>
      <c r="B37" s="395"/>
      <c r="C37" s="61"/>
      <c r="D37" s="43" t="s">
        <v>18</v>
      </c>
      <c r="E37" s="43" t="s">
        <v>18</v>
      </c>
      <c r="F37" s="43" t="s">
        <v>18</v>
      </c>
      <c r="G37" s="43" t="s">
        <v>18</v>
      </c>
    </row>
    <row r="38" spans="1:7">
      <c r="A38" s="62" t="s">
        <v>19</v>
      </c>
      <c r="B38" s="63" t="s">
        <v>36</v>
      </c>
      <c r="C38" s="63"/>
      <c r="D38" s="64">
        <f>D34*8.33%</f>
        <v>119.119</v>
      </c>
      <c r="E38" s="64">
        <f>E34*8.33%</f>
        <v>119.119</v>
      </c>
      <c r="F38" s="64">
        <f t="shared" ref="F38:G38" si="1">F34*8.33%</f>
        <v>136.98685</v>
      </c>
      <c r="G38" s="64">
        <f t="shared" si="1"/>
        <v>184.504502</v>
      </c>
    </row>
    <row r="39" spans="1:7">
      <c r="A39" s="62" t="s">
        <v>21</v>
      </c>
      <c r="B39" s="63" t="s">
        <v>37</v>
      </c>
      <c r="C39" s="63"/>
      <c r="D39" s="64">
        <f>D34*12.1%</f>
        <v>173.03</v>
      </c>
      <c r="E39" s="64">
        <f>E34*12.1%</f>
        <v>173.03</v>
      </c>
      <c r="F39" s="64">
        <f t="shared" ref="F39:G39" si="2">F34*12.1%</f>
        <v>198.9845</v>
      </c>
      <c r="G39" s="64">
        <f t="shared" si="2"/>
        <v>268.00774000000001</v>
      </c>
    </row>
    <row r="40" spans="1:7">
      <c r="A40" s="62"/>
      <c r="B40" s="61" t="s">
        <v>38</v>
      </c>
      <c r="C40" s="61"/>
      <c r="D40" s="65">
        <f>SUM(D38:D39)</f>
        <v>292.149</v>
      </c>
      <c r="E40" s="65">
        <f>SUM(E38:E39)</f>
        <v>292.149</v>
      </c>
      <c r="F40" s="65">
        <f t="shared" ref="F40:G40" si="3">SUM(F38:F39)</f>
        <v>335.97135000000003</v>
      </c>
      <c r="G40" s="65">
        <f t="shared" si="3"/>
        <v>452.51224200000001</v>
      </c>
    </row>
    <row r="41" spans="1:7" ht="45">
      <c r="A41" s="62" t="s">
        <v>23</v>
      </c>
      <c r="B41" s="66" t="s">
        <v>39</v>
      </c>
      <c r="C41" s="66"/>
      <c r="D41" s="64">
        <f>D34*7.82%</f>
        <v>111.82600000000001</v>
      </c>
      <c r="E41" s="64">
        <f>E34*7.82%</f>
        <v>111.82600000000001</v>
      </c>
      <c r="F41" s="64">
        <f t="shared" ref="F41:G41" si="4">F34*7.82%</f>
        <v>128.59990000000002</v>
      </c>
      <c r="G41" s="64">
        <f t="shared" si="4"/>
        <v>173.20830800000002</v>
      </c>
    </row>
    <row r="42" spans="1:7">
      <c r="A42" s="8"/>
      <c r="B42" s="8"/>
      <c r="C42" s="8"/>
      <c r="D42" s="8"/>
      <c r="E42" s="10"/>
    </row>
    <row r="43" spans="1:7" ht="32.450000000000003" customHeight="1">
      <c r="A43" s="396" t="s">
        <v>40</v>
      </c>
      <c r="B43" s="396"/>
      <c r="C43" s="396"/>
      <c r="D43" s="59" t="s">
        <v>141</v>
      </c>
      <c r="E43" s="60" t="s">
        <v>142</v>
      </c>
      <c r="F43" s="60" t="s">
        <v>143</v>
      </c>
      <c r="G43" s="60" t="s">
        <v>144</v>
      </c>
    </row>
    <row r="44" spans="1:7">
      <c r="A44" s="33" t="s">
        <v>41</v>
      </c>
      <c r="B44" s="67" t="s">
        <v>42</v>
      </c>
      <c r="C44" s="68" t="s">
        <v>43</v>
      </c>
      <c r="D44" s="69" t="s">
        <v>18</v>
      </c>
      <c r="E44" s="69" t="s">
        <v>18</v>
      </c>
      <c r="F44" s="69" t="s">
        <v>18</v>
      </c>
      <c r="G44" s="69" t="s">
        <v>18</v>
      </c>
    </row>
    <row r="45" spans="1:7">
      <c r="A45" s="62" t="s">
        <v>19</v>
      </c>
      <c r="B45" s="70" t="s">
        <v>44</v>
      </c>
      <c r="C45" s="71">
        <v>20</v>
      </c>
      <c r="D45" s="64">
        <f>(D34*($C$45/100))</f>
        <v>286</v>
      </c>
      <c r="E45" s="64">
        <f t="shared" ref="E45:G45" si="5">(E34*($C$45/100))</f>
        <v>286</v>
      </c>
      <c r="F45" s="64">
        <f t="shared" si="5"/>
        <v>328.90000000000003</v>
      </c>
      <c r="G45" s="64">
        <f t="shared" si="5"/>
        <v>442.98800000000006</v>
      </c>
    </row>
    <row r="46" spans="1:7">
      <c r="A46" s="62" t="s">
        <v>21</v>
      </c>
      <c r="B46" s="72" t="s">
        <v>45</v>
      </c>
      <c r="C46" s="73">
        <v>2.5</v>
      </c>
      <c r="D46" s="74">
        <f>(D34*($C$46/100))</f>
        <v>35.75</v>
      </c>
      <c r="E46" s="74">
        <f t="shared" ref="E46:G46" si="6">(E34*($C$46/100))</f>
        <v>35.75</v>
      </c>
      <c r="F46" s="74">
        <f t="shared" si="6"/>
        <v>41.112500000000004</v>
      </c>
      <c r="G46" s="74">
        <f t="shared" si="6"/>
        <v>55.373500000000007</v>
      </c>
    </row>
    <row r="47" spans="1:7">
      <c r="A47" s="62" t="s">
        <v>23</v>
      </c>
      <c r="B47" s="70" t="s">
        <v>46</v>
      </c>
      <c r="C47" s="71">
        <v>6</v>
      </c>
      <c r="D47" s="64">
        <f>(D$34*($C$47/100))</f>
        <v>85.8</v>
      </c>
      <c r="E47" s="64">
        <f t="shared" ref="E47:G47" si="7">(E$34*($C$47/100))</f>
        <v>85.8</v>
      </c>
      <c r="F47" s="64">
        <f t="shared" si="7"/>
        <v>98.67</v>
      </c>
      <c r="G47" s="64">
        <f t="shared" si="7"/>
        <v>132.8964</v>
      </c>
    </row>
    <row r="48" spans="1:7">
      <c r="A48" s="62" t="s">
        <v>24</v>
      </c>
      <c r="B48" s="72" t="s">
        <v>47</v>
      </c>
      <c r="C48" s="73">
        <v>1.5</v>
      </c>
      <c r="D48" s="64">
        <f>(D$34*($C$48/100))</f>
        <v>21.45</v>
      </c>
      <c r="E48" s="64">
        <f t="shared" ref="E48:G48" si="8">(E$34*($C$48/100))</f>
        <v>21.45</v>
      </c>
      <c r="F48" s="64">
        <f t="shared" si="8"/>
        <v>24.6675</v>
      </c>
      <c r="G48" s="64">
        <f t="shared" si="8"/>
        <v>33.2241</v>
      </c>
    </row>
    <row r="49" spans="1:7">
      <c r="A49" s="62" t="s">
        <v>26</v>
      </c>
      <c r="B49" s="72" t="s">
        <v>48</v>
      </c>
      <c r="C49" s="73">
        <v>1</v>
      </c>
      <c r="D49" s="64">
        <f>(D$34*($C$49/100))</f>
        <v>14.3</v>
      </c>
      <c r="E49" s="64">
        <f t="shared" ref="E49:G49" si="9">(E$34*($C$49/100))</f>
        <v>14.3</v>
      </c>
      <c r="F49" s="64">
        <f t="shared" si="9"/>
        <v>16.445</v>
      </c>
      <c r="G49" s="64">
        <f t="shared" si="9"/>
        <v>22.1494</v>
      </c>
    </row>
    <row r="50" spans="1:7">
      <c r="A50" s="62" t="s">
        <v>28</v>
      </c>
      <c r="B50" s="72" t="s">
        <v>49</v>
      </c>
      <c r="C50" s="73">
        <v>0.6</v>
      </c>
      <c r="D50" s="64">
        <f>(D$34*($C$50/100))</f>
        <v>8.58</v>
      </c>
      <c r="E50" s="64">
        <f t="shared" ref="E50:G50" si="10">(E$34*($C$50/100))</f>
        <v>8.58</v>
      </c>
      <c r="F50" s="64">
        <f t="shared" si="10"/>
        <v>9.8670000000000009</v>
      </c>
      <c r="G50" s="64">
        <f t="shared" si="10"/>
        <v>13.28964</v>
      </c>
    </row>
    <row r="51" spans="1:7">
      <c r="A51" s="62" t="s">
        <v>50</v>
      </c>
      <c r="B51" s="72" t="s">
        <v>51</v>
      </c>
      <c r="C51" s="73">
        <v>0.2</v>
      </c>
      <c r="D51" s="64">
        <f>(D$34*($C$51/100))</f>
        <v>2.86</v>
      </c>
      <c r="E51" s="64">
        <f t="shared" ref="E51:G51" si="11">(E$34*($C$51/100))</f>
        <v>2.86</v>
      </c>
      <c r="F51" s="64">
        <f t="shared" si="11"/>
        <v>3.2890000000000001</v>
      </c>
      <c r="G51" s="64">
        <f t="shared" si="11"/>
        <v>4.4298799999999998</v>
      </c>
    </row>
    <row r="52" spans="1:7">
      <c r="A52" s="62" t="s">
        <v>52</v>
      </c>
      <c r="B52" s="70" t="s">
        <v>53</v>
      </c>
      <c r="C52" s="71">
        <v>8</v>
      </c>
      <c r="D52" s="64">
        <f>(D$34*($C$52/100))</f>
        <v>114.4</v>
      </c>
      <c r="E52" s="64">
        <f t="shared" ref="E52:G52" si="12">(E$34*($C$52/100))</f>
        <v>114.4</v>
      </c>
      <c r="F52" s="64">
        <f t="shared" si="12"/>
        <v>131.56</v>
      </c>
      <c r="G52" s="64">
        <f t="shared" si="12"/>
        <v>177.1952</v>
      </c>
    </row>
    <row r="53" spans="1:7">
      <c r="A53" s="75"/>
      <c r="B53" s="67" t="s">
        <v>54</v>
      </c>
      <c r="C53" s="76">
        <f>SUM(C45:C52)</f>
        <v>39.799999999999997</v>
      </c>
      <c r="D53" s="65">
        <f>SUM(D45:D52)</f>
        <v>569.14</v>
      </c>
      <c r="E53" s="65">
        <f t="shared" ref="E53:G53" si="13">SUM(E45:E52)</f>
        <v>569.14</v>
      </c>
      <c r="F53" s="65">
        <f t="shared" si="13"/>
        <v>654.51099999999997</v>
      </c>
      <c r="G53" s="65">
        <f t="shared" si="13"/>
        <v>881.54612000000009</v>
      </c>
    </row>
    <row r="54" spans="1:7">
      <c r="A54" s="77"/>
      <c r="B54" s="78" t="s">
        <v>55</v>
      </c>
      <c r="C54" s="77"/>
      <c r="D54" s="77"/>
      <c r="E54" s="10"/>
    </row>
    <row r="55" spans="1:7">
      <c r="A55" s="77"/>
      <c r="B55" s="78"/>
      <c r="C55" s="77"/>
      <c r="D55" s="77"/>
      <c r="E55" s="10"/>
    </row>
    <row r="56" spans="1:7">
      <c r="A56" s="397" t="s">
        <v>56</v>
      </c>
      <c r="B56" s="397"/>
      <c r="C56" s="397"/>
      <c r="D56" s="59" t="s">
        <v>141</v>
      </c>
      <c r="E56" s="60" t="s">
        <v>142</v>
      </c>
      <c r="F56" s="60" t="s">
        <v>143</v>
      </c>
      <c r="G56" s="60" t="s">
        <v>144</v>
      </c>
    </row>
    <row r="57" spans="1:7">
      <c r="A57" s="33" t="s">
        <v>57</v>
      </c>
      <c r="B57" s="384" t="s">
        <v>58</v>
      </c>
      <c r="C57" s="384"/>
      <c r="D57" s="43" t="s">
        <v>18</v>
      </c>
      <c r="E57" s="43" t="s">
        <v>18</v>
      </c>
      <c r="F57" s="43" t="s">
        <v>18</v>
      </c>
      <c r="G57" s="43" t="s">
        <v>18</v>
      </c>
    </row>
    <row r="58" spans="1:7">
      <c r="A58" s="62" t="s">
        <v>19</v>
      </c>
      <c r="B58" s="387" t="s">
        <v>147</v>
      </c>
      <c r="C58" s="387"/>
      <c r="D58" s="79">
        <f>(4.05*4*A20)-(6%*D20)</f>
        <v>252.45599999999996</v>
      </c>
      <c r="E58" s="79">
        <f>(4.05*4*A21)-(6%*D20)</f>
        <v>160.60200000000003</v>
      </c>
      <c r="F58" s="79">
        <f>(4.05*4*A20)-(6%*D20)</f>
        <v>252.45599999999996</v>
      </c>
      <c r="G58" s="79">
        <f>(4.05*4*A22)-(6%*D22)</f>
        <v>231.09959999999995</v>
      </c>
    </row>
    <row r="59" spans="1:7">
      <c r="A59" s="62" t="s">
        <v>21</v>
      </c>
      <c r="B59" s="386" t="s">
        <v>148</v>
      </c>
      <c r="C59" s="386"/>
      <c r="D59" s="80">
        <f>(21*$A$20)-(21*$A$20*10%)</f>
        <v>394.63199999999995</v>
      </c>
      <c r="E59" s="80">
        <f>(21*A21)-(21*A21*10%)</f>
        <v>287.46900000000005</v>
      </c>
      <c r="F59" s="80">
        <f>(21*$A$20)-(21*$A$20*10%)</f>
        <v>394.63199999999995</v>
      </c>
      <c r="G59" s="80">
        <f>(21*$A$22)-(21*$A$22*10%)</f>
        <v>394.63199999999995</v>
      </c>
    </row>
    <row r="60" spans="1:7">
      <c r="A60" s="62" t="s">
        <v>23</v>
      </c>
      <c r="B60" s="386" t="s">
        <v>117</v>
      </c>
      <c r="C60" s="386"/>
      <c r="D60" s="79">
        <v>0</v>
      </c>
      <c r="E60" s="81">
        <f>E54</f>
        <v>0</v>
      </c>
      <c r="F60" s="81">
        <f>F54</f>
        <v>0</v>
      </c>
      <c r="G60" s="81">
        <f>G54</f>
        <v>0</v>
      </c>
    </row>
    <row r="61" spans="1:7">
      <c r="A61" s="62" t="s">
        <v>24</v>
      </c>
      <c r="B61" s="386" t="s">
        <v>116</v>
      </c>
      <c r="C61" s="386"/>
      <c r="D61" s="79">
        <v>17</v>
      </c>
      <c r="E61" s="79">
        <v>17</v>
      </c>
      <c r="F61" s="79">
        <v>17</v>
      </c>
      <c r="G61" s="79">
        <v>17</v>
      </c>
    </row>
    <row r="62" spans="1:7">
      <c r="A62" s="75"/>
      <c r="B62" s="384" t="s">
        <v>59</v>
      </c>
      <c r="C62" s="384"/>
      <c r="D62" s="82">
        <f t="shared" ref="D62:G62" si="14">SUM(D58:D61)</f>
        <v>664.08799999999997</v>
      </c>
      <c r="E62" s="82">
        <f t="shared" si="14"/>
        <v>465.07100000000008</v>
      </c>
      <c r="F62" s="82">
        <f t="shared" si="14"/>
        <v>664.08799999999997</v>
      </c>
      <c r="G62" s="82">
        <f t="shared" si="14"/>
        <v>642.73159999999984</v>
      </c>
    </row>
    <row r="63" spans="1:7">
      <c r="A63" s="77"/>
      <c r="B63" s="83"/>
      <c r="C63" s="84"/>
      <c r="D63" s="84"/>
      <c r="E63" s="10"/>
    </row>
    <row r="64" spans="1:7">
      <c r="A64" s="385" t="s">
        <v>60</v>
      </c>
      <c r="B64" s="385"/>
      <c r="C64" s="385"/>
      <c r="D64" s="59" t="s">
        <v>141</v>
      </c>
      <c r="E64" s="60" t="s">
        <v>142</v>
      </c>
      <c r="F64" s="60" t="s">
        <v>143</v>
      </c>
      <c r="G64" s="60" t="s">
        <v>144</v>
      </c>
    </row>
    <row r="65" spans="1:7">
      <c r="A65" s="85">
        <v>2</v>
      </c>
      <c r="B65" s="384" t="s">
        <v>61</v>
      </c>
      <c r="C65" s="384"/>
      <c r="D65" s="86" t="s">
        <v>35</v>
      </c>
      <c r="E65" s="86" t="s">
        <v>35</v>
      </c>
      <c r="F65" s="86" t="s">
        <v>35</v>
      </c>
      <c r="G65" s="86" t="s">
        <v>35</v>
      </c>
    </row>
    <row r="66" spans="1:7">
      <c r="A66" s="85" t="s">
        <v>33</v>
      </c>
      <c r="B66" s="386" t="s">
        <v>34</v>
      </c>
      <c r="C66" s="386"/>
      <c r="D66" s="81">
        <f t="shared" ref="D66:G66" si="15">D40</f>
        <v>292.149</v>
      </c>
      <c r="E66" s="81">
        <f t="shared" si="15"/>
        <v>292.149</v>
      </c>
      <c r="F66" s="81">
        <f t="shared" si="15"/>
        <v>335.97135000000003</v>
      </c>
      <c r="G66" s="81">
        <f t="shared" si="15"/>
        <v>452.51224200000001</v>
      </c>
    </row>
    <row r="67" spans="1:7">
      <c r="A67" s="85" t="s">
        <v>41</v>
      </c>
      <c r="B67" s="386" t="s">
        <v>42</v>
      </c>
      <c r="C67" s="386"/>
      <c r="D67" s="81">
        <f t="shared" ref="D67:G67" si="16">D53+D41</f>
        <v>680.96600000000001</v>
      </c>
      <c r="E67" s="81">
        <f t="shared" si="16"/>
        <v>680.96600000000001</v>
      </c>
      <c r="F67" s="81">
        <f t="shared" si="16"/>
        <v>783.11090000000002</v>
      </c>
      <c r="G67" s="81">
        <f t="shared" si="16"/>
        <v>1054.7544280000002</v>
      </c>
    </row>
    <row r="68" spans="1:7">
      <c r="A68" s="85" t="s">
        <v>57</v>
      </c>
      <c r="B68" s="386" t="s">
        <v>58</v>
      </c>
      <c r="C68" s="386"/>
      <c r="D68" s="81">
        <f t="shared" ref="D68:G68" si="17">D62</f>
        <v>664.08799999999997</v>
      </c>
      <c r="E68" s="81">
        <f t="shared" si="17"/>
        <v>465.07100000000008</v>
      </c>
      <c r="F68" s="81">
        <f t="shared" si="17"/>
        <v>664.08799999999997</v>
      </c>
      <c r="G68" s="81">
        <f t="shared" si="17"/>
        <v>642.73159999999984</v>
      </c>
    </row>
    <row r="69" spans="1:7">
      <c r="A69" s="85"/>
      <c r="B69" s="384" t="s">
        <v>38</v>
      </c>
      <c r="C69" s="384"/>
      <c r="D69" s="82">
        <f t="shared" ref="D69:G69" si="18">SUM(D66:D68)</f>
        <v>1637.203</v>
      </c>
      <c r="E69" s="82">
        <f t="shared" si="18"/>
        <v>1438.1860000000001</v>
      </c>
      <c r="F69" s="82">
        <f t="shared" si="18"/>
        <v>1783.1702499999999</v>
      </c>
      <c r="G69" s="82">
        <f t="shared" si="18"/>
        <v>2149.99827</v>
      </c>
    </row>
    <row r="70" spans="1:7">
      <c r="A70" s="8"/>
      <c r="B70" s="87"/>
      <c r="C70" s="84"/>
      <c r="D70" s="84"/>
      <c r="E70" s="10"/>
    </row>
    <row r="71" spans="1:7">
      <c r="A71" s="385" t="s">
        <v>62</v>
      </c>
      <c r="B71" s="385"/>
      <c r="C71" s="385"/>
      <c r="D71" s="59" t="s">
        <v>141</v>
      </c>
      <c r="E71" s="60" t="s">
        <v>142</v>
      </c>
      <c r="F71" s="60" t="s">
        <v>143</v>
      </c>
      <c r="G71" s="60" t="s">
        <v>144</v>
      </c>
    </row>
    <row r="72" spans="1:7">
      <c r="A72" s="33">
        <v>3</v>
      </c>
      <c r="B72" s="418" t="s">
        <v>63</v>
      </c>
      <c r="C72" s="418"/>
      <c r="D72" s="69" t="s">
        <v>18</v>
      </c>
      <c r="E72" s="69" t="s">
        <v>18</v>
      </c>
      <c r="F72" s="69" t="s">
        <v>18</v>
      </c>
      <c r="G72" s="69" t="s">
        <v>18</v>
      </c>
    </row>
    <row r="73" spans="1:7">
      <c r="A73" s="62" t="s">
        <v>19</v>
      </c>
      <c r="B73" s="417" t="s">
        <v>64</v>
      </c>
      <c r="C73" s="417"/>
      <c r="D73" s="88">
        <f t="shared" ref="D73:G73" si="19">((D34+D38+D39)/12)*5%</f>
        <v>7.1756208333333333</v>
      </c>
      <c r="E73" s="88">
        <f t="shared" si="19"/>
        <v>7.1756208333333333</v>
      </c>
      <c r="F73" s="88">
        <f t="shared" si="19"/>
        <v>8.2519639583333326</v>
      </c>
      <c r="G73" s="88">
        <f t="shared" si="19"/>
        <v>11.114384341666669</v>
      </c>
    </row>
    <row r="74" spans="1:7">
      <c r="A74" s="62" t="s">
        <v>21</v>
      </c>
      <c r="B74" s="417" t="s">
        <v>65</v>
      </c>
      <c r="C74" s="417"/>
      <c r="D74" s="89">
        <f t="shared" ref="D74:G74" si="20">((D34+D38)/12)*5%*8%</f>
        <v>0.51637299999999997</v>
      </c>
      <c r="E74" s="89">
        <f t="shared" si="20"/>
        <v>0.51637299999999997</v>
      </c>
      <c r="F74" s="89">
        <f t="shared" si="20"/>
        <v>0.59382895000000002</v>
      </c>
      <c r="G74" s="89">
        <f t="shared" si="20"/>
        <v>0.7998148340000002</v>
      </c>
    </row>
    <row r="75" spans="1:7">
      <c r="A75" s="62" t="s">
        <v>23</v>
      </c>
      <c r="B75" s="417" t="s">
        <v>66</v>
      </c>
      <c r="C75" s="417"/>
      <c r="D75" s="89">
        <v>0</v>
      </c>
      <c r="E75" s="89">
        <v>0</v>
      </c>
      <c r="F75" s="89">
        <v>0</v>
      </c>
      <c r="G75" s="89">
        <v>0</v>
      </c>
    </row>
    <row r="76" spans="1:7">
      <c r="A76" s="62" t="s">
        <v>24</v>
      </c>
      <c r="B76" s="417" t="s">
        <v>67</v>
      </c>
      <c r="C76" s="417"/>
      <c r="D76" s="89">
        <f t="shared" ref="D76:G76" si="21">(((D34+D60)/30/12)*7)</f>
        <v>27.805555555555554</v>
      </c>
      <c r="E76" s="89">
        <f t="shared" si="21"/>
        <v>27.805555555555554</v>
      </c>
      <c r="F76" s="89">
        <f t="shared" si="21"/>
        <v>31.976388888888888</v>
      </c>
      <c r="G76" s="89">
        <f t="shared" si="21"/>
        <v>43.068277777777773</v>
      </c>
    </row>
    <row r="77" spans="1:7" ht="24" customHeight="1">
      <c r="A77" s="62" t="s">
        <v>26</v>
      </c>
      <c r="B77" s="417" t="s">
        <v>68</v>
      </c>
      <c r="C77" s="417"/>
      <c r="D77" s="90">
        <f t="shared" ref="D77:G77" si="22">(D34/30/12*7)*8%</f>
        <v>2.2244444444444444</v>
      </c>
      <c r="E77" s="90">
        <f t="shared" si="22"/>
        <v>2.2244444444444444</v>
      </c>
      <c r="F77" s="90">
        <f t="shared" si="22"/>
        <v>2.5581111111111112</v>
      </c>
      <c r="G77" s="90">
        <f t="shared" si="22"/>
        <v>3.445462222222222</v>
      </c>
    </row>
    <row r="78" spans="1:7">
      <c r="A78" s="62" t="s">
        <v>28</v>
      </c>
      <c r="B78" s="417" t="s">
        <v>69</v>
      </c>
      <c r="C78" s="417"/>
      <c r="D78" s="89">
        <f t="shared" ref="D78:G78" si="23">D34*4%</f>
        <v>57.2</v>
      </c>
      <c r="E78" s="89">
        <f t="shared" si="23"/>
        <v>57.2</v>
      </c>
      <c r="F78" s="89">
        <f t="shared" si="23"/>
        <v>65.78</v>
      </c>
      <c r="G78" s="89">
        <f t="shared" si="23"/>
        <v>88.5976</v>
      </c>
    </row>
    <row r="79" spans="1:7">
      <c r="A79" s="75"/>
      <c r="B79" s="418" t="s">
        <v>54</v>
      </c>
      <c r="C79" s="418"/>
      <c r="D79" s="65">
        <f t="shared" ref="D79:G79" si="24">SUM(D73:D78)</f>
        <v>94.921993833333332</v>
      </c>
      <c r="E79" s="65">
        <f t="shared" si="24"/>
        <v>94.921993833333332</v>
      </c>
      <c r="F79" s="65">
        <f t="shared" si="24"/>
        <v>109.16029290833333</v>
      </c>
      <c r="G79" s="65">
        <f t="shared" si="24"/>
        <v>147.02553917566667</v>
      </c>
    </row>
    <row r="80" spans="1:7">
      <c r="A80" s="8"/>
      <c r="B80" s="8"/>
      <c r="C80" s="8"/>
      <c r="D80" s="8"/>
      <c r="E80" s="10"/>
    </row>
    <row r="81" spans="1:7">
      <c r="A81" s="385" t="s">
        <v>70</v>
      </c>
      <c r="B81" s="385"/>
      <c r="C81" s="385"/>
      <c r="D81" s="59" t="s">
        <v>141</v>
      </c>
      <c r="E81" s="60" t="s">
        <v>142</v>
      </c>
      <c r="F81" s="60" t="s">
        <v>143</v>
      </c>
      <c r="G81" s="60" t="s">
        <v>144</v>
      </c>
    </row>
    <row r="82" spans="1:7">
      <c r="A82" s="33" t="s">
        <v>71</v>
      </c>
      <c r="B82" s="418" t="s">
        <v>149</v>
      </c>
      <c r="C82" s="418"/>
      <c r="D82" s="69" t="s">
        <v>18</v>
      </c>
      <c r="E82" s="69" t="s">
        <v>18</v>
      </c>
      <c r="F82" s="69" t="s">
        <v>18</v>
      </c>
      <c r="G82" s="69" t="s">
        <v>18</v>
      </c>
    </row>
    <row r="83" spans="1:7">
      <c r="A83" s="62" t="s">
        <v>19</v>
      </c>
      <c r="B83" s="419" t="s">
        <v>73</v>
      </c>
      <c r="C83" s="419"/>
      <c r="D83" s="89">
        <v>0</v>
      </c>
      <c r="E83" s="89">
        <v>0</v>
      </c>
      <c r="F83" s="89">
        <v>0</v>
      </c>
      <c r="G83" s="89">
        <v>0</v>
      </c>
    </row>
    <row r="84" spans="1:7">
      <c r="A84" s="62" t="s">
        <v>21</v>
      </c>
      <c r="B84" s="419" t="s">
        <v>74</v>
      </c>
      <c r="C84" s="419"/>
      <c r="D84" s="89">
        <f ca="1">(((D34+D69+D79+D87+D108)-(D58-D59-D105-D106))/30*2.96)/12</f>
        <v>34.50996505881168</v>
      </c>
      <c r="E84" s="89">
        <f t="shared" ref="E84:G84" ca="1" si="25">(((E34+E69+E79+E87+E108)-(E58-E59-E105-E106))/30*2.96)/12</f>
        <v>32.307988204668874</v>
      </c>
      <c r="F84" s="89">
        <f t="shared" ca="1" si="25"/>
        <v>38.428925473533205</v>
      </c>
      <c r="G84" s="89">
        <f t="shared" ca="1" si="25"/>
        <v>38.991355392607822</v>
      </c>
    </row>
    <row r="85" spans="1:7">
      <c r="A85" s="62" t="s">
        <v>23</v>
      </c>
      <c r="B85" s="419" t="s">
        <v>75</v>
      </c>
      <c r="C85" s="419"/>
      <c r="D85" s="89">
        <f t="shared" ref="D85:G85" ca="1" si="26">(((D34+D69+D79+D87+D108)-(D58-D59-D105-D106))/30*5*1.5%)/12</f>
        <v>0.8744078984496203</v>
      </c>
      <c r="E85" s="89">
        <f t="shared" ca="1" si="26"/>
        <v>0.81861456599667759</v>
      </c>
      <c r="F85" s="89">
        <f t="shared" ca="1" si="26"/>
        <v>0.97370588193073992</v>
      </c>
      <c r="G85" s="89">
        <f t="shared" ca="1" si="26"/>
        <v>0.98795664001540073</v>
      </c>
    </row>
    <row r="86" spans="1:7">
      <c r="A86" s="62" t="s">
        <v>24</v>
      </c>
      <c r="B86" s="419" t="s">
        <v>76</v>
      </c>
      <c r="C86" s="419"/>
      <c r="D86" s="89">
        <f t="shared" ref="D86:G86" ca="1" si="27">(((D34+D69+D79+D87+D108)-(D58-D59-D105-D106))/30*15*0.78%)/12</f>
        <v>1.3640763215814078</v>
      </c>
      <c r="E86" s="89">
        <f t="shared" ca="1" si="27"/>
        <v>1.2770387229548172</v>
      </c>
      <c r="F86" s="89">
        <f t="shared" ca="1" si="27"/>
        <v>1.5189811758119545</v>
      </c>
      <c r="G86" s="89">
        <f t="shared" ca="1" si="27"/>
        <v>1.5412123584240254</v>
      </c>
    </row>
    <row r="87" spans="1:7">
      <c r="A87" s="62" t="s">
        <v>26</v>
      </c>
      <c r="B87" s="419" t="s">
        <v>77</v>
      </c>
      <c r="C87" s="419"/>
      <c r="D87" s="89">
        <f t="shared" ref="D87:G87" si="28">(((D39*3.95/12)+(D60*3.95*1.02%))/12+((D34+D38)*39.8%*3.95)*1.02%/12)</f>
        <v>6.8163735106927783</v>
      </c>
      <c r="E87" s="89">
        <f t="shared" si="28"/>
        <v>6.8163735106927783</v>
      </c>
      <c r="F87" s="89">
        <f t="shared" si="28"/>
        <v>7.8388295372966947</v>
      </c>
      <c r="G87" s="89">
        <f t="shared" si="28"/>
        <v>10.55794289774396</v>
      </c>
    </row>
    <row r="88" spans="1:7">
      <c r="A88" s="62" t="s">
        <v>28</v>
      </c>
      <c r="B88" s="419" t="s">
        <v>78</v>
      </c>
      <c r="C88" s="419"/>
      <c r="D88" s="89">
        <v>0</v>
      </c>
      <c r="E88" s="89">
        <v>0</v>
      </c>
      <c r="F88" s="89">
        <v>0</v>
      </c>
      <c r="G88" s="89">
        <v>0</v>
      </c>
    </row>
    <row r="89" spans="1:7">
      <c r="A89" s="75"/>
      <c r="B89" s="418" t="s">
        <v>54</v>
      </c>
      <c r="C89" s="418"/>
      <c r="D89" s="65">
        <f t="shared" ref="D89:G89" ca="1" si="29">SUM(D83:D88)</f>
        <v>43.564822789535484</v>
      </c>
      <c r="E89" s="65">
        <f t="shared" ca="1" si="29"/>
        <v>41.220015004313147</v>
      </c>
      <c r="F89" s="65">
        <f t="shared" ca="1" si="29"/>
        <v>48.760442068572594</v>
      </c>
      <c r="G89" s="65">
        <f t="shared" ca="1" si="29"/>
        <v>52.078467288791202</v>
      </c>
    </row>
    <row r="90" spans="1:7" ht="15.75" thickBot="1">
      <c r="A90" s="77"/>
      <c r="B90" s="77"/>
      <c r="C90" s="77"/>
      <c r="D90" s="8"/>
      <c r="E90" s="10"/>
    </row>
    <row r="91" spans="1:7">
      <c r="A91" s="420" t="s">
        <v>79</v>
      </c>
      <c r="B91" s="421"/>
      <c r="C91" s="422"/>
      <c r="D91" s="59" t="s">
        <v>141</v>
      </c>
      <c r="E91" s="60" t="s">
        <v>142</v>
      </c>
      <c r="F91" s="60" t="s">
        <v>143</v>
      </c>
      <c r="G91" s="60" t="s">
        <v>144</v>
      </c>
    </row>
    <row r="92" spans="1:7">
      <c r="A92" s="91" t="s">
        <v>80</v>
      </c>
      <c r="B92" s="423" t="s">
        <v>81</v>
      </c>
      <c r="C92" s="424"/>
      <c r="D92" s="92" t="s">
        <v>18</v>
      </c>
      <c r="E92" s="92" t="s">
        <v>18</v>
      </c>
      <c r="F92" s="92" t="s">
        <v>18</v>
      </c>
      <c r="G92" s="92" t="s">
        <v>18</v>
      </c>
    </row>
    <row r="93" spans="1:7">
      <c r="A93" s="93" t="s">
        <v>19</v>
      </c>
      <c r="B93" s="428" t="s">
        <v>82</v>
      </c>
      <c r="C93" s="429"/>
      <c r="D93" s="94">
        <v>0</v>
      </c>
      <c r="E93" s="94">
        <v>0</v>
      </c>
      <c r="F93" s="94">
        <v>0</v>
      </c>
      <c r="G93" s="94">
        <v>0</v>
      </c>
    </row>
    <row r="94" spans="1:7" ht="15.75" thickBot="1">
      <c r="A94" s="95"/>
      <c r="B94" s="430" t="s">
        <v>54</v>
      </c>
      <c r="C94" s="431"/>
      <c r="D94" s="96">
        <v>0</v>
      </c>
      <c r="E94" s="96">
        <v>0</v>
      </c>
      <c r="F94" s="96">
        <v>0</v>
      </c>
      <c r="G94" s="96">
        <v>0</v>
      </c>
    </row>
    <row r="95" spans="1:7">
      <c r="A95" s="77"/>
      <c r="B95" s="77"/>
      <c r="C95" s="77"/>
      <c r="D95" s="8"/>
      <c r="E95" s="10"/>
    </row>
    <row r="96" spans="1:7">
      <c r="A96" s="427" t="s">
        <v>83</v>
      </c>
      <c r="B96" s="427"/>
      <c r="C96" s="427"/>
      <c r="D96" s="97" t="s">
        <v>141</v>
      </c>
      <c r="E96" s="98" t="s">
        <v>142</v>
      </c>
      <c r="F96" s="98" t="s">
        <v>143</v>
      </c>
      <c r="G96" s="98" t="s">
        <v>144</v>
      </c>
    </row>
    <row r="97" spans="1:11">
      <c r="A97" s="99">
        <v>4</v>
      </c>
      <c r="B97" s="426" t="s">
        <v>84</v>
      </c>
      <c r="C97" s="426"/>
      <c r="D97" s="100" t="s">
        <v>35</v>
      </c>
      <c r="E97" s="100" t="s">
        <v>35</v>
      </c>
      <c r="F97" s="100" t="s">
        <v>35</v>
      </c>
      <c r="G97" s="100" t="s">
        <v>35</v>
      </c>
    </row>
    <row r="98" spans="1:11">
      <c r="A98" s="101" t="s">
        <v>71</v>
      </c>
      <c r="B98" s="425" t="s">
        <v>72</v>
      </c>
      <c r="C98" s="425"/>
      <c r="D98" s="102">
        <f ca="1">D89</f>
        <v>43.564822789535484</v>
      </c>
      <c r="E98" s="102">
        <f t="shared" ref="E98:G98" ca="1" si="30">E89</f>
        <v>41.220015004313147</v>
      </c>
      <c r="F98" s="102">
        <f t="shared" ca="1" si="30"/>
        <v>48.760442068572594</v>
      </c>
      <c r="G98" s="102">
        <f t="shared" ca="1" si="30"/>
        <v>52.078467288791202</v>
      </c>
    </row>
    <row r="99" spans="1:11">
      <c r="A99" s="101" t="s">
        <v>80</v>
      </c>
      <c r="B99" s="425" t="s">
        <v>81</v>
      </c>
      <c r="C99" s="425"/>
      <c r="D99" s="102">
        <v>0</v>
      </c>
      <c r="E99" s="102">
        <v>0</v>
      </c>
      <c r="F99" s="102">
        <v>0</v>
      </c>
      <c r="G99" s="102">
        <v>0</v>
      </c>
    </row>
    <row r="100" spans="1:11">
      <c r="A100" s="103"/>
      <c r="B100" s="426" t="s">
        <v>38</v>
      </c>
      <c r="C100" s="426"/>
      <c r="D100" s="104">
        <f ca="1">SUM(D98:D99)</f>
        <v>43.564822789535484</v>
      </c>
      <c r="E100" s="104">
        <f t="shared" ref="E100:G100" ca="1" si="31">SUM(E98:E99)</f>
        <v>41.220015004313147</v>
      </c>
      <c r="F100" s="104">
        <f t="shared" ca="1" si="31"/>
        <v>48.760442068572594</v>
      </c>
      <c r="G100" s="104">
        <f t="shared" ca="1" si="31"/>
        <v>52.078467288791202</v>
      </c>
      <c r="J100" s="304"/>
    </row>
    <row r="101" spans="1:11">
      <c r="A101" s="8"/>
      <c r="B101" s="8"/>
      <c r="C101" s="8"/>
      <c r="D101" s="8"/>
      <c r="E101" s="8"/>
      <c r="J101" s="304"/>
    </row>
    <row r="102" spans="1:11">
      <c r="A102" s="427" t="s">
        <v>85</v>
      </c>
      <c r="B102" s="427"/>
      <c r="C102" s="427"/>
      <c r="D102" s="97" t="s">
        <v>141</v>
      </c>
      <c r="E102" s="98" t="s">
        <v>142</v>
      </c>
      <c r="F102" s="98" t="s">
        <v>143</v>
      </c>
      <c r="G102" s="98" t="s">
        <v>144</v>
      </c>
      <c r="J102" s="304"/>
    </row>
    <row r="103" spans="1:11">
      <c r="A103" s="105">
        <v>5</v>
      </c>
      <c r="B103" s="426" t="s">
        <v>86</v>
      </c>
      <c r="C103" s="426"/>
      <c r="D103" s="106" t="s">
        <v>18</v>
      </c>
      <c r="E103" s="106" t="s">
        <v>18</v>
      </c>
      <c r="F103" s="106" t="s">
        <v>18</v>
      </c>
      <c r="G103" s="106" t="s">
        <v>18</v>
      </c>
    </row>
    <row r="104" spans="1:11">
      <c r="A104" s="107" t="s">
        <v>19</v>
      </c>
      <c r="B104" s="425" t="s">
        <v>118</v>
      </c>
      <c r="C104" s="425"/>
      <c r="D104" s="108">
        <f ca="1">1.45%*(SUM(D124:D127))</f>
        <v>46.482502341031598</v>
      </c>
      <c r="E104" s="108">
        <f ca="1">1.45%*SUM(E124:E127)</f>
        <v>43.562756128145878</v>
      </c>
      <c r="F104" s="108">
        <f ca="1">1.45%*SUM(F124:F127)</f>
        <v>51.991069282165135</v>
      </c>
      <c r="G104" s="108">
        <f ca="1">1.23%*(SUM(G124:G127))</f>
        <v>56.137720000512836</v>
      </c>
    </row>
    <row r="105" spans="1:11" ht="26.25" customHeight="1">
      <c r="A105" s="107" t="s">
        <v>21</v>
      </c>
      <c r="B105" s="436" t="s">
        <v>465</v>
      </c>
      <c r="C105" s="436"/>
      <c r="D105" s="109" cm="1">
        <f t="array" aca="1" ref="D105" ca="1">12%*(SUM(D124:D127+D104)-9.25%*(12%*SUM(D124:D127+D104)))</f>
        <v>402.47674151022471</v>
      </c>
      <c r="E105" s="109" cm="1">
        <f t="array" aca="1" ref="E105" ca="1">12%*(SUM(E124:E127+E104)-9.25%*(12%*SUM(E124:E127+E104)))</f>
        <v>377.19561672960509</v>
      </c>
      <c r="F105" s="109" cm="1">
        <f t="array" aca="1" ref="F105" ca="1">12%*(SUM(F124:F127+F104)-9.25%*(12%*SUM(F124:F127+F104)))</f>
        <v>450.1736158435433</v>
      </c>
      <c r="G105" s="109"/>
      <c r="I105" s="254">
        <f ca="1">12%*(D124+D125+D126+D127+D104)</f>
        <v>390.26067827566806</v>
      </c>
      <c r="J105" s="254">
        <f ca="1">12%*(E124+E125+E126+E127+E104)</f>
        <v>365.74689179589512</v>
      </c>
      <c r="K105" s="255">
        <f ca="1">12%*(F104+F124+F125+F126+F127)</f>
        <v>436.50984651108848</v>
      </c>
    </row>
    <row r="106" spans="1:11">
      <c r="A106" s="107" t="s">
        <v>23</v>
      </c>
      <c r="B106" s="425" t="s">
        <v>87</v>
      </c>
      <c r="C106" s="425"/>
      <c r="D106" s="110">
        <f>'An IIB Relacao Equip'!H25</f>
        <v>17.302279926335178</v>
      </c>
      <c r="E106" s="110">
        <f>'An IIB Relacao Equip'!H25</f>
        <v>17.302279926335178</v>
      </c>
      <c r="F106" s="110">
        <f>'An IIB Relacao Equip'!H25</f>
        <v>17.302279926335178</v>
      </c>
      <c r="G106" s="110">
        <v>0</v>
      </c>
      <c r="I106" s="254">
        <f ca="1">9.45%*(12%*(D124+D125+D126+D127+D104))</f>
        <v>36.879634097050626</v>
      </c>
      <c r="J106" s="254">
        <f ca="1">9.45%*J105</f>
        <v>34.563081274712083</v>
      </c>
      <c r="K106" s="254">
        <f ca="1">9.45%*K105</f>
        <v>41.250180495297855</v>
      </c>
    </row>
    <row r="107" spans="1:11">
      <c r="A107" s="107" t="s">
        <v>24</v>
      </c>
      <c r="B107" s="425" t="s">
        <v>29</v>
      </c>
      <c r="C107" s="425"/>
      <c r="D107" s="110">
        <v>0</v>
      </c>
      <c r="E107" s="110">
        <v>0</v>
      </c>
      <c r="F107" s="110">
        <v>0</v>
      </c>
      <c r="G107" s="110">
        <v>0</v>
      </c>
      <c r="I107" s="254">
        <f ca="1">I105-I106</f>
        <v>353.38104417861746</v>
      </c>
      <c r="J107" s="254">
        <f ca="1">J105-J106</f>
        <v>331.18381052118303</v>
      </c>
      <c r="K107" s="254">
        <f ca="1">K105-K106</f>
        <v>395.25966601579063</v>
      </c>
    </row>
    <row r="108" spans="1:11">
      <c r="A108" s="111"/>
      <c r="B108" s="426" t="s">
        <v>88</v>
      </c>
      <c r="C108" s="426"/>
      <c r="D108" s="112">
        <f ca="1">SUM(D104:D107)</f>
        <v>466.26152377759149</v>
      </c>
      <c r="E108" s="112">
        <f t="shared" ref="E108:G108" ca="1" si="32">SUM(E104:E107)</f>
        <v>438.06065278408613</v>
      </c>
      <c r="F108" s="112">
        <f t="shared" ca="1" si="32"/>
        <v>519.46696505204363</v>
      </c>
      <c r="G108" s="112">
        <f t="shared" ca="1" si="32"/>
        <v>56.137720000512836</v>
      </c>
    </row>
    <row r="109" spans="1:11">
      <c r="A109" s="11"/>
      <c r="B109" s="113"/>
      <c r="C109" s="114"/>
      <c r="D109" s="114"/>
      <c r="E109" s="8"/>
    </row>
    <row r="110" spans="1:11">
      <c r="A110" s="427" t="s">
        <v>89</v>
      </c>
      <c r="B110" s="427"/>
      <c r="C110" s="97"/>
      <c r="D110" s="97" t="s">
        <v>141</v>
      </c>
      <c r="E110" s="98" t="s">
        <v>142</v>
      </c>
      <c r="F110" s="98" t="s">
        <v>143</v>
      </c>
      <c r="G110" s="98" t="s">
        <v>144</v>
      </c>
    </row>
    <row r="111" spans="1:11">
      <c r="A111" s="105">
        <v>6</v>
      </c>
      <c r="B111" s="115" t="s">
        <v>90</v>
      </c>
      <c r="C111" s="116" t="s">
        <v>43</v>
      </c>
      <c r="D111" s="117" t="s">
        <v>18</v>
      </c>
      <c r="E111" s="117" t="s">
        <v>18</v>
      </c>
      <c r="F111" s="117" t="s">
        <v>18</v>
      </c>
      <c r="G111" s="117" t="s">
        <v>18</v>
      </c>
    </row>
    <row r="112" spans="1:11">
      <c r="A112" s="107" t="s">
        <v>19</v>
      </c>
      <c r="B112" s="118" t="s">
        <v>91</v>
      </c>
      <c r="C112" s="119">
        <v>4.8</v>
      </c>
      <c r="D112" s="120">
        <f ca="1">(D129)*$C$112/100</f>
        <v>176.2536643392221</v>
      </c>
      <c r="E112" s="120">
        <f t="shared" ref="E112:G112" ca="1" si="33">(E129)*$C$112/100</f>
        <v>165.23465575784317</v>
      </c>
      <c r="F112" s="120">
        <f t="shared" ca="1" si="33"/>
        <v>197.04278160138958</v>
      </c>
      <c r="G112" s="120">
        <f t="shared" ca="1" si="33"/>
        <v>221.76863983031862</v>
      </c>
    </row>
    <row r="113" spans="1:7">
      <c r="A113" s="107" t="s">
        <v>21</v>
      </c>
      <c r="B113" s="118" t="s">
        <v>92</v>
      </c>
      <c r="C113" s="119">
        <v>3.92</v>
      </c>
      <c r="D113" s="120">
        <f ca="1">(D129+D112)*$C$113/100</f>
        <v>150.84963618579556</v>
      </c>
      <c r="E113" s="120">
        <f t="shared" ref="E113:G113" ca="1" si="34">(E129+E112)*$C$113/100</f>
        <v>141.41883404127938</v>
      </c>
      <c r="F113" s="120">
        <f t="shared" ca="1" si="34"/>
        <v>168.6423486799093</v>
      </c>
      <c r="G113" s="120">
        <f t="shared" ca="1" si="34"/>
        <v>189.80438654277535</v>
      </c>
    </row>
    <row r="114" spans="1:7">
      <c r="A114" s="107" t="s">
        <v>23</v>
      </c>
      <c r="B114" s="118" t="s">
        <v>93</v>
      </c>
      <c r="C114" s="119"/>
      <c r="D114" s="120"/>
      <c r="E114" s="120"/>
      <c r="F114" s="120"/>
      <c r="G114" s="120"/>
    </row>
    <row r="115" spans="1:7">
      <c r="A115" s="107"/>
      <c r="B115" s="118" t="s">
        <v>94</v>
      </c>
      <c r="C115" s="119">
        <f>3+0.65</f>
        <v>3.65</v>
      </c>
      <c r="D115" s="120">
        <f ca="1">((D129+D112+D113)/(1-($C$115+$C$117)/100))*$C$115/100</f>
        <v>159.78707651207438</v>
      </c>
      <c r="E115" s="120">
        <f t="shared" ref="E115:G115" ca="1" si="35">((E129+E112+E113)/(1-($C$115+$C$117)/100))*$C$115/100</f>
        <v>149.79752438627392</v>
      </c>
      <c r="F115" s="120">
        <f t="shared" ca="1" si="35"/>
        <v>178.63395996860876</v>
      </c>
      <c r="G115" s="120">
        <f t="shared" ca="1" si="35"/>
        <v>201.04979237393474</v>
      </c>
    </row>
    <row r="116" spans="1:7">
      <c r="A116" s="107"/>
      <c r="B116" s="118" t="s">
        <v>95</v>
      </c>
      <c r="C116" s="119"/>
      <c r="D116" s="120"/>
      <c r="E116" s="120"/>
      <c r="F116" s="120"/>
      <c r="G116" s="120"/>
    </row>
    <row r="117" spans="1:7">
      <c r="A117" s="107"/>
      <c r="B117" s="118" t="s">
        <v>96</v>
      </c>
      <c r="C117" s="107">
        <v>5</v>
      </c>
      <c r="D117" s="120">
        <f ca="1">((D129+D112+D113)/(1-($C$115+$C$117)/100))*$C$117/100</f>
        <v>218.88640618092381</v>
      </c>
      <c r="E117" s="120">
        <f t="shared" ref="E117:G117" ca="1" si="36">((E129+E112+E113)/(1-($C$115+$C$117)/100))*$C$117/100</f>
        <v>205.20208820037521</v>
      </c>
      <c r="F117" s="120">
        <f t="shared" ca="1" si="36"/>
        <v>244.70405475151884</v>
      </c>
      <c r="G117" s="120">
        <f t="shared" ca="1" si="36"/>
        <v>275.4106744848421</v>
      </c>
    </row>
    <row r="118" spans="1:7">
      <c r="A118" s="107"/>
      <c r="B118" s="118" t="s">
        <v>97</v>
      </c>
      <c r="C118" s="119"/>
      <c r="D118" s="120"/>
      <c r="E118" s="120"/>
      <c r="F118" s="121"/>
      <c r="G118" s="121"/>
    </row>
    <row r="119" spans="1:7">
      <c r="A119" s="107"/>
      <c r="B119" s="115" t="s">
        <v>54</v>
      </c>
      <c r="C119" s="122">
        <f>SUM(C112:C118)</f>
        <v>17.369999999999997</v>
      </c>
      <c r="D119" s="123">
        <f ca="1">SUM(D112:D118)</f>
        <v>705.77678321801579</v>
      </c>
      <c r="E119" s="123">
        <f ca="1">SUM(E112:E118)</f>
        <v>661.65310238577172</v>
      </c>
      <c r="F119" s="123">
        <f t="shared" ref="F119:G119" ca="1" si="37">SUM(F112:F118)</f>
        <v>789.02314500142643</v>
      </c>
      <c r="G119" s="123">
        <f t="shared" ca="1" si="37"/>
        <v>888.03349323187081</v>
      </c>
    </row>
    <row r="120" spans="1:7">
      <c r="A120" s="11"/>
      <c r="B120" s="113"/>
      <c r="C120" s="114"/>
      <c r="D120" s="114"/>
      <c r="E120" s="8"/>
    </row>
    <row r="121" spans="1:7">
      <c r="A121" s="432" t="s">
        <v>150</v>
      </c>
      <c r="B121" s="432"/>
      <c r="C121" s="432"/>
      <c r="D121" s="432"/>
      <c r="E121" s="432"/>
      <c r="F121" s="432"/>
      <c r="G121" s="432"/>
    </row>
    <row r="122" spans="1:7">
      <c r="A122" s="433" t="s">
        <v>151</v>
      </c>
      <c r="B122" s="433"/>
      <c r="C122" s="433"/>
      <c r="D122" s="97" t="s">
        <v>141</v>
      </c>
      <c r="E122" s="98" t="s">
        <v>142</v>
      </c>
      <c r="F122" s="98" t="s">
        <v>143</v>
      </c>
      <c r="G122" s="98" t="s">
        <v>144</v>
      </c>
    </row>
    <row r="123" spans="1:7">
      <c r="A123" s="103"/>
      <c r="B123" s="434" t="s">
        <v>98</v>
      </c>
      <c r="C123" s="434"/>
      <c r="D123" s="117" t="s">
        <v>18</v>
      </c>
      <c r="E123" s="117" t="s">
        <v>18</v>
      </c>
      <c r="F123" s="117" t="s">
        <v>18</v>
      </c>
      <c r="G123" s="117" t="s">
        <v>18</v>
      </c>
    </row>
    <row r="124" spans="1:7">
      <c r="A124" s="103" t="s">
        <v>19</v>
      </c>
      <c r="B124" s="435" t="s">
        <v>99</v>
      </c>
      <c r="C124" s="435"/>
      <c r="D124" s="120">
        <f>D34</f>
        <v>1430</v>
      </c>
      <c r="E124" s="120">
        <f t="shared" ref="E124:G124" si="38">E34</f>
        <v>1430</v>
      </c>
      <c r="F124" s="120">
        <f t="shared" si="38"/>
        <v>1644.5</v>
      </c>
      <c r="G124" s="120">
        <f t="shared" si="38"/>
        <v>2214.94</v>
      </c>
    </row>
    <row r="125" spans="1:7">
      <c r="A125" s="103" t="s">
        <v>21</v>
      </c>
      <c r="B125" s="435" t="s">
        <v>100</v>
      </c>
      <c r="C125" s="435"/>
      <c r="D125" s="120">
        <f>D69</f>
        <v>1637.203</v>
      </c>
      <c r="E125" s="120">
        <f t="shared" ref="E125:G125" si="39">E69</f>
        <v>1438.1860000000001</v>
      </c>
      <c r="F125" s="120">
        <f t="shared" si="39"/>
        <v>1783.1702499999999</v>
      </c>
      <c r="G125" s="120">
        <f t="shared" si="39"/>
        <v>2149.99827</v>
      </c>
    </row>
    <row r="126" spans="1:7">
      <c r="A126" s="103" t="s">
        <v>23</v>
      </c>
      <c r="B126" s="435" t="s">
        <v>101</v>
      </c>
      <c r="C126" s="435"/>
      <c r="D126" s="120">
        <f>D79</f>
        <v>94.921993833333332</v>
      </c>
      <c r="E126" s="120">
        <f t="shared" ref="E126:G126" si="40">E79</f>
        <v>94.921993833333332</v>
      </c>
      <c r="F126" s="120">
        <f t="shared" si="40"/>
        <v>109.16029290833333</v>
      </c>
      <c r="G126" s="120">
        <f t="shared" si="40"/>
        <v>147.02553917566667</v>
      </c>
    </row>
    <row r="127" spans="1:7">
      <c r="A127" s="103" t="s">
        <v>24</v>
      </c>
      <c r="B127" s="435" t="s">
        <v>102</v>
      </c>
      <c r="C127" s="435"/>
      <c r="D127" s="120">
        <f ca="1">D100</f>
        <v>43.564822789535484</v>
      </c>
      <c r="E127" s="120">
        <f t="shared" ref="E127:G127" ca="1" si="41">E100</f>
        <v>41.220015004313147</v>
      </c>
      <c r="F127" s="120">
        <f t="shared" ca="1" si="41"/>
        <v>48.760442068572594</v>
      </c>
      <c r="G127" s="120">
        <f t="shared" ca="1" si="41"/>
        <v>52.078467288791202</v>
      </c>
    </row>
    <row r="128" spans="1:7">
      <c r="A128" s="103" t="s">
        <v>26</v>
      </c>
      <c r="B128" s="435" t="s">
        <v>103</v>
      </c>
      <c r="C128" s="435"/>
      <c r="D128" s="120">
        <f ca="1">D108</f>
        <v>466.26152377759149</v>
      </c>
      <c r="E128" s="120">
        <f t="shared" ref="E128:G128" ca="1" si="42">E108</f>
        <v>438.06065278408613</v>
      </c>
      <c r="F128" s="120">
        <f t="shared" ca="1" si="42"/>
        <v>519.46696505204363</v>
      </c>
      <c r="G128" s="120">
        <f t="shared" ca="1" si="42"/>
        <v>56.137720000512836</v>
      </c>
    </row>
    <row r="129" spans="1:7">
      <c r="A129" s="103"/>
      <c r="B129" s="434" t="s">
        <v>104</v>
      </c>
      <c r="C129" s="434"/>
      <c r="D129" s="123">
        <f ca="1">SUM(D124:D128)</f>
        <v>3671.9513404004601</v>
      </c>
      <c r="E129" s="123">
        <f t="shared" ref="E129:G129" ca="1" si="43">SUM(E124:E128)</f>
        <v>3442.3886616217328</v>
      </c>
      <c r="F129" s="123">
        <f t="shared" ca="1" si="43"/>
        <v>4105.0579500289496</v>
      </c>
      <c r="G129" s="123">
        <f t="shared" ca="1" si="43"/>
        <v>4620.1799964649708</v>
      </c>
    </row>
    <row r="130" spans="1:7">
      <c r="A130" s="103" t="s">
        <v>28</v>
      </c>
      <c r="B130" s="435" t="s">
        <v>105</v>
      </c>
      <c r="C130" s="435"/>
      <c r="D130" s="120">
        <f ca="1">D119</f>
        <v>705.77678321801579</v>
      </c>
      <c r="E130" s="120">
        <f t="shared" ref="E130:G130" ca="1" si="44">E119</f>
        <v>661.65310238577172</v>
      </c>
      <c r="F130" s="120">
        <f t="shared" ca="1" si="44"/>
        <v>789.02314500142643</v>
      </c>
      <c r="G130" s="120">
        <f t="shared" ca="1" si="44"/>
        <v>888.03349323187081</v>
      </c>
    </row>
    <row r="131" spans="1:7">
      <c r="A131" s="103"/>
      <c r="B131" s="434" t="s">
        <v>106</v>
      </c>
      <c r="C131" s="434"/>
      <c r="D131" s="123">
        <f ca="1">SUM(D129:D130)</f>
        <v>4377.7281236184763</v>
      </c>
      <c r="E131" s="123">
        <f t="shared" ref="E131:G131" ca="1" si="45">SUM(E129:E130)</f>
        <v>4104.0417640075048</v>
      </c>
      <c r="F131" s="123">
        <f t="shared" ca="1" si="45"/>
        <v>4894.0810950303758</v>
      </c>
      <c r="G131" s="123">
        <f t="shared" ca="1" si="45"/>
        <v>5508.2134896968419</v>
      </c>
    </row>
    <row r="132" spans="1:7">
      <c r="A132" s="103"/>
      <c r="B132" s="434" t="s">
        <v>152</v>
      </c>
      <c r="C132" s="434"/>
      <c r="D132" s="123"/>
      <c r="E132" s="123">
        <f ca="1">2*E131</f>
        <v>8208.0835280150095</v>
      </c>
      <c r="F132" s="123"/>
      <c r="G132" s="123"/>
    </row>
    <row r="133" spans="1:7">
      <c r="A133" s="103"/>
      <c r="B133" s="434" t="s">
        <v>107</v>
      </c>
      <c r="C133" s="434"/>
      <c r="D133" s="124">
        <f ca="1">D131/D34</f>
        <v>3.0613483381947386</v>
      </c>
      <c r="E133" s="124">
        <f t="shared" ref="E133:G133" ca="1" si="46">E131/E34</f>
        <v>2.8699592755297236</v>
      </c>
      <c r="F133" s="124">
        <f t="shared" ca="1" si="46"/>
        <v>2.9760298540774555</v>
      </c>
      <c r="G133" s="124">
        <f t="shared" ca="1" si="46"/>
        <v>2.4868454629456518</v>
      </c>
    </row>
    <row r="134" spans="1:7">
      <c r="A134" s="8"/>
      <c r="B134" s="125"/>
      <c r="C134" s="8"/>
      <c r="D134" s="8"/>
      <c r="E134" s="8"/>
    </row>
    <row r="135" spans="1:7">
      <c r="A135" s="8"/>
      <c r="B135" s="8"/>
      <c r="C135" s="8"/>
      <c r="D135" s="8"/>
      <c r="E135" s="8"/>
    </row>
    <row r="136" spans="1:7">
      <c r="A136" s="427" t="s">
        <v>108</v>
      </c>
      <c r="B136" s="427"/>
      <c r="C136" s="97"/>
      <c r="D136" s="97" t="s">
        <v>141</v>
      </c>
      <c r="E136" s="98" t="s">
        <v>142</v>
      </c>
      <c r="F136" s="98" t="s">
        <v>143</v>
      </c>
      <c r="G136" s="98" t="s">
        <v>144</v>
      </c>
    </row>
    <row r="137" spans="1:7">
      <c r="A137" s="105">
        <v>6</v>
      </c>
      <c r="B137" s="115" t="s">
        <v>90</v>
      </c>
      <c r="C137" s="116" t="s">
        <v>43</v>
      </c>
      <c r="D137" s="117" t="s">
        <v>18</v>
      </c>
      <c r="E137" s="117" t="s">
        <v>18</v>
      </c>
      <c r="F137" s="117" t="s">
        <v>18</v>
      </c>
      <c r="G137" s="117" t="s">
        <v>18</v>
      </c>
    </row>
    <row r="138" spans="1:7">
      <c r="A138" s="107" t="s">
        <v>19</v>
      </c>
      <c r="B138" s="118" t="s">
        <v>91</v>
      </c>
      <c r="C138" s="119">
        <v>4.8</v>
      </c>
      <c r="D138" s="120">
        <f ca="1">(D155)*$C$138/100</f>
        <v>176.2536643392221</v>
      </c>
      <c r="E138" s="120">
        <f t="shared" ref="E138:G138" ca="1" si="47">(E155)*$C$138/100</f>
        <v>165.23465575784317</v>
      </c>
      <c r="F138" s="120">
        <f t="shared" ca="1" si="47"/>
        <v>197.04278160138958</v>
      </c>
      <c r="G138" s="120">
        <f t="shared" ca="1" si="47"/>
        <v>221.76863983031862</v>
      </c>
    </row>
    <row r="139" spans="1:7">
      <c r="A139" s="107" t="s">
        <v>21</v>
      </c>
      <c r="B139" s="118" t="s">
        <v>92</v>
      </c>
      <c r="C139" s="119">
        <v>3.92</v>
      </c>
      <c r="D139" s="120">
        <f ca="1">(D155+D138)*$C$139/100</f>
        <v>150.84963618579556</v>
      </c>
      <c r="E139" s="120">
        <f t="shared" ref="E139:G139" ca="1" si="48">(E155+E138)*$C$139/100</f>
        <v>141.41883404127938</v>
      </c>
      <c r="F139" s="120">
        <f t="shared" ca="1" si="48"/>
        <v>168.6423486799093</v>
      </c>
      <c r="G139" s="120">
        <f t="shared" ca="1" si="48"/>
        <v>189.80438654277535</v>
      </c>
    </row>
    <row r="140" spans="1:7">
      <c r="A140" s="107" t="s">
        <v>23</v>
      </c>
      <c r="B140" s="118" t="s">
        <v>93</v>
      </c>
      <c r="C140" s="119"/>
      <c r="D140" s="120"/>
      <c r="E140" s="120"/>
      <c r="F140" s="120"/>
      <c r="G140" s="120"/>
    </row>
    <row r="141" spans="1:7">
      <c r="A141" s="107"/>
      <c r="B141" s="118" t="s">
        <v>115</v>
      </c>
      <c r="C141" s="126">
        <v>9.25</v>
      </c>
      <c r="D141" s="120">
        <f ca="1">((D155+D138+D139)/(1-($C$141+$C$143)/100))*$C$141/100</f>
        <v>431.38490295697579</v>
      </c>
      <c r="E141" s="120">
        <f t="shared" ref="E141:G141" ca="1" si="49">((E155+E138+E139)/(1-($C$141+$C$143)/100))*$C$141/100</f>
        <v>404.41562566347415</v>
      </c>
      <c r="F141" s="120">
        <f t="shared" ca="1" si="49"/>
        <v>482.26674627253414</v>
      </c>
      <c r="G141" s="120">
        <f t="shared" ca="1" si="49"/>
        <v>542.78385377553457</v>
      </c>
    </row>
    <row r="142" spans="1:7">
      <c r="A142" s="107"/>
      <c r="B142" s="118" t="s">
        <v>95</v>
      </c>
      <c r="C142" s="119"/>
      <c r="D142" s="120"/>
      <c r="E142" s="120"/>
      <c r="F142" s="120"/>
      <c r="G142" s="120"/>
    </row>
    <row r="143" spans="1:7">
      <c r="A143" s="107"/>
      <c r="B143" s="118" t="s">
        <v>96</v>
      </c>
      <c r="C143" s="107">
        <v>5</v>
      </c>
      <c r="D143" s="120">
        <f ca="1">((D155+D138+D139)/(1-($C$141+$C$143)/100))*$C$143/100</f>
        <v>233.18102862539232</v>
      </c>
      <c r="E143" s="120">
        <f t="shared" ref="E143:G143" ca="1" si="50">((E155+E138+E139)/(1-($C$141+$C$143)/100))*$C$143/100</f>
        <v>218.6030408991752</v>
      </c>
      <c r="F143" s="120">
        <f t="shared" ca="1" si="50"/>
        <v>260.68472771488337</v>
      </c>
      <c r="G143" s="120">
        <f t="shared" ca="1" si="50"/>
        <v>293.39667771650522</v>
      </c>
    </row>
    <row r="144" spans="1:7">
      <c r="A144" s="107"/>
      <c r="B144" s="118" t="s">
        <v>97</v>
      </c>
      <c r="C144" s="119"/>
      <c r="D144" s="120"/>
      <c r="E144" s="120"/>
      <c r="F144" s="120"/>
      <c r="G144" s="120"/>
    </row>
    <row r="145" spans="1:7">
      <c r="A145" s="107"/>
      <c r="B145" s="115" t="s">
        <v>54</v>
      </c>
      <c r="C145" s="122">
        <f>SUM(C138:C144)</f>
        <v>22.97</v>
      </c>
      <c r="D145" s="123">
        <f ca="1">SUM(D138:D144)</f>
        <v>991.66923210738571</v>
      </c>
      <c r="E145" s="123">
        <f t="shared" ref="E145:G145" ca="1" si="51">SUM(E138:E144)</f>
        <v>929.67215636177195</v>
      </c>
      <c r="F145" s="123">
        <f t="shared" ca="1" si="51"/>
        <v>1108.6366042687164</v>
      </c>
      <c r="G145" s="123">
        <f t="shared" ca="1" si="51"/>
        <v>1247.7535578651336</v>
      </c>
    </row>
    <row r="146" spans="1:7">
      <c r="A146" s="77"/>
      <c r="B146" s="77"/>
      <c r="C146" s="77"/>
      <c r="D146" s="77"/>
      <c r="E146" s="8"/>
    </row>
    <row r="147" spans="1:7">
      <c r="A147" s="432" t="s">
        <v>153</v>
      </c>
      <c r="B147" s="432"/>
      <c r="C147" s="432"/>
      <c r="D147" s="432"/>
      <c r="E147" s="432"/>
      <c r="F147" s="432"/>
      <c r="G147" s="432"/>
    </row>
    <row r="148" spans="1:7">
      <c r="A148" s="437" t="s">
        <v>154</v>
      </c>
      <c r="B148" s="437"/>
      <c r="C148" s="437"/>
      <c r="D148" s="97" t="s">
        <v>141</v>
      </c>
      <c r="E148" s="98" t="s">
        <v>142</v>
      </c>
      <c r="F148" s="98" t="s">
        <v>143</v>
      </c>
      <c r="G148" s="98" t="s">
        <v>144</v>
      </c>
    </row>
    <row r="149" spans="1:7">
      <c r="A149" s="103"/>
      <c r="B149" s="434" t="s">
        <v>98</v>
      </c>
      <c r="C149" s="434"/>
      <c r="D149" s="117" t="s">
        <v>18</v>
      </c>
      <c r="E149" s="117" t="s">
        <v>18</v>
      </c>
      <c r="F149" s="117" t="s">
        <v>18</v>
      </c>
      <c r="G149" s="117" t="s">
        <v>18</v>
      </c>
    </row>
    <row r="150" spans="1:7">
      <c r="A150" s="103" t="s">
        <v>19</v>
      </c>
      <c r="B150" s="435" t="s">
        <v>99</v>
      </c>
      <c r="C150" s="435"/>
      <c r="D150" s="120">
        <f>D124</f>
        <v>1430</v>
      </c>
      <c r="E150" s="120">
        <f t="shared" ref="E150:G154" si="52">E124</f>
        <v>1430</v>
      </c>
      <c r="F150" s="120">
        <f t="shared" si="52"/>
        <v>1644.5</v>
      </c>
      <c r="G150" s="120">
        <f t="shared" si="52"/>
        <v>2214.94</v>
      </c>
    </row>
    <row r="151" spans="1:7">
      <c r="A151" s="103" t="s">
        <v>21</v>
      </c>
      <c r="B151" s="435" t="s">
        <v>100</v>
      </c>
      <c r="C151" s="435"/>
      <c r="D151" s="120">
        <f>D125</f>
        <v>1637.203</v>
      </c>
      <c r="E151" s="120">
        <f t="shared" si="52"/>
        <v>1438.1860000000001</v>
      </c>
      <c r="F151" s="120">
        <f t="shared" si="52"/>
        <v>1783.1702499999999</v>
      </c>
      <c r="G151" s="120">
        <f t="shared" si="52"/>
        <v>2149.99827</v>
      </c>
    </row>
    <row r="152" spans="1:7">
      <c r="A152" s="103" t="s">
        <v>23</v>
      </c>
      <c r="B152" s="435" t="s">
        <v>101</v>
      </c>
      <c r="C152" s="435"/>
      <c r="D152" s="120">
        <f>D126</f>
        <v>94.921993833333332</v>
      </c>
      <c r="E152" s="120">
        <f t="shared" si="52"/>
        <v>94.921993833333332</v>
      </c>
      <c r="F152" s="120">
        <f t="shared" si="52"/>
        <v>109.16029290833333</v>
      </c>
      <c r="G152" s="120">
        <f t="shared" si="52"/>
        <v>147.02553917566667</v>
      </c>
    </row>
    <row r="153" spans="1:7">
      <c r="A153" s="103" t="s">
        <v>24</v>
      </c>
      <c r="B153" s="435" t="s">
        <v>102</v>
      </c>
      <c r="C153" s="435"/>
      <c r="D153" s="120">
        <f ca="1">D127</f>
        <v>43.564822789535484</v>
      </c>
      <c r="E153" s="120">
        <f t="shared" ca="1" si="52"/>
        <v>41.220015004313147</v>
      </c>
      <c r="F153" s="120">
        <f t="shared" ca="1" si="52"/>
        <v>48.760442068572594</v>
      </c>
      <c r="G153" s="120">
        <f t="shared" ca="1" si="52"/>
        <v>52.078467288791202</v>
      </c>
    </row>
    <row r="154" spans="1:7">
      <c r="A154" s="103" t="s">
        <v>26</v>
      </c>
      <c r="B154" s="435" t="s">
        <v>103</v>
      </c>
      <c r="C154" s="435"/>
      <c r="D154" s="120">
        <f ca="1">D128</f>
        <v>466.26152377759149</v>
      </c>
      <c r="E154" s="120">
        <f t="shared" ca="1" si="52"/>
        <v>438.06065278408613</v>
      </c>
      <c r="F154" s="120">
        <f t="shared" ca="1" si="52"/>
        <v>519.46696505204363</v>
      </c>
      <c r="G154" s="120">
        <f t="shared" ca="1" si="52"/>
        <v>56.137720000512836</v>
      </c>
    </row>
    <row r="155" spans="1:7">
      <c r="A155" s="103"/>
      <c r="B155" s="434" t="s">
        <v>104</v>
      </c>
      <c r="C155" s="434"/>
      <c r="D155" s="123">
        <f ca="1">SUM(D150:D154)</f>
        <v>3671.9513404004601</v>
      </c>
      <c r="E155" s="123">
        <f t="shared" ref="E155:G155" ca="1" si="53">SUM(E150:E154)</f>
        <v>3442.3886616217328</v>
      </c>
      <c r="F155" s="123">
        <f t="shared" ca="1" si="53"/>
        <v>4105.0579500289496</v>
      </c>
      <c r="G155" s="123">
        <f t="shared" ca="1" si="53"/>
        <v>4620.1799964649708</v>
      </c>
    </row>
    <row r="156" spans="1:7">
      <c r="A156" s="103" t="s">
        <v>28</v>
      </c>
      <c r="B156" s="435" t="s">
        <v>105</v>
      </c>
      <c r="C156" s="435"/>
      <c r="D156" s="120">
        <f ca="1">D145</f>
        <v>991.66923210738571</v>
      </c>
      <c r="E156" s="120">
        <f t="shared" ref="E156:G156" ca="1" si="54">E145</f>
        <v>929.67215636177195</v>
      </c>
      <c r="F156" s="120">
        <f t="shared" ca="1" si="54"/>
        <v>1108.6366042687164</v>
      </c>
      <c r="G156" s="120">
        <f t="shared" ca="1" si="54"/>
        <v>1247.7535578651336</v>
      </c>
    </row>
    <row r="157" spans="1:7">
      <c r="A157" s="103"/>
      <c r="B157" s="434" t="s">
        <v>106</v>
      </c>
      <c r="C157" s="434"/>
      <c r="D157" s="123">
        <f ca="1">SUM(D155:D156)</f>
        <v>4663.6205725078462</v>
      </c>
      <c r="E157" s="123">
        <f t="shared" ref="E157:G157" ca="1" si="55">SUM(E155:E156)</f>
        <v>4372.0608179835044</v>
      </c>
      <c r="F157" s="123">
        <f t="shared" ca="1" si="55"/>
        <v>5213.6945542976664</v>
      </c>
      <c r="G157" s="123">
        <f t="shared" ca="1" si="55"/>
        <v>5867.933554330104</v>
      </c>
    </row>
    <row r="158" spans="1:7">
      <c r="A158" s="103"/>
      <c r="B158" s="434" t="s">
        <v>152</v>
      </c>
      <c r="C158" s="434"/>
      <c r="D158" s="123"/>
      <c r="E158" s="123">
        <f ca="1">2*E157</f>
        <v>8744.1216359670088</v>
      </c>
      <c r="F158" s="123"/>
      <c r="G158" s="123"/>
    </row>
    <row r="159" spans="1:7">
      <c r="A159" s="103"/>
      <c r="B159" s="434" t="s">
        <v>107</v>
      </c>
      <c r="C159" s="434"/>
      <c r="D159" s="124">
        <f ca="1">D157/D34</f>
        <v>3.2612731276278644</v>
      </c>
      <c r="E159" s="124">
        <f t="shared" ref="E159:G159" ca="1" si="56">E157/E34</f>
        <v>3.057385187401052</v>
      </c>
      <c r="F159" s="124">
        <f t="shared" ca="1" si="56"/>
        <v>3.1703828241396574</v>
      </c>
      <c r="G159" s="124">
        <f t="shared" ca="1" si="56"/>
        <v>2.6492516972604694</v>
      </c>
    </row>
  </sheetData>
  <mergeCells count="110">
    <mergeCell ref="B158:C158"/>
    <mergeCell ref="B159:C159"/>
    <mergeCell ref="B153:C153"/>
    <mergeCell ref="B154:C154"/>
    <mergeCell ref="B155:C155"/>
    <mergeCell ref="B156:C156"/>
    <mergeCell ref="B157:C157"/>
    <mergeCell ref="A148:C148"/>
    <mergeCell ref="B149:C149"/>
    <mergeCell ref="B150:C150"/>
    <mergeCell ref="B151:C151"/>
    <mergeCell ref="B152:C152"/>
    <mergeCell ref="B131:C131"/>
    <mergeCell ref="B132:C132"/>
    <mergeCell ref="B133:C133"/>
    <mergeCell ref="A136:B136"/>
    <mergeCell ref="A147:G147"/>
    <mergeCell ref="B126:C126"/>
    <mergeCell ref="B127:C127"/>
    <mergeCell ref="B128:C128"/>
    <mergeCell ref="B129:C129"/>
    <mergeCell ref="B130:C130"/>
    <mergeCell ref="A121:G121"/>
    <mergeCell ref="A122:C122"/>
    <mergeCell ref="B123:C123"/>
    <mergeCell ref="B124:C124"/>
    <mergeCell ref="B125:C125"/>
    <mergeCell ref="B105:C105"/>
    <mergeCell ref="B106:C106"/>
    <mergeCell ref="B107:C107"/>
    <mergeCell ref="B108:C108"/>
    <mergeCell ref="A110:B110"/>
    <mergeCell ref="B99:C99"/>
    <mergeCell ref="B100:C100"/>
    <mergeCell ref="A102:C102"/>
    <mergeCell ref="B103:C103"/>
    <mergeCell ref="B104:C104"/>
    <mergeCell ref="B93:C93"/>
    <mergeCell ref="B94:C94"/>
    <mergeCell ref="A96:C96"/>
    <mergeCell ref="B97:C97"/>
    <mergeCell ref="B98:C98"/>
    <mergeCell ref="B86:C86"/>
    <mergeCell ref="B87:C87"/>
    <mergeCell ref="B89:C89"/>
    <mergeCell ref="A91:C91"/>
    <mergeCell ref="B92:C92"/>
    <mergeCell ref="A81:C81"/>
    <mergeCell ref="B82:C82"/>
    <mergeCell ref="B83:C83"/>
    <mergeCell ref="B84:C84"/>
    <mergeCell ref="B85:C85"/>
    <mergeCell ref="B88:C88"/>
    <mergeCell ref="B75:C75"/>
    <mergeCell ref="B76:C76"/>
    <mergeCell ref="B77:C77"/>
    <mergeCell ref="B78:C78"/>
    <mergeCell ref="B79:C79"/>
    <mergeCell ref="B69:C69"/>
    <mergeCell ref="A71:C71"/>
    <mergeCell ref="B72:C72"/>
    <mergeCell ref="B73:C73"/>
    <mergeCell ref="B74:C74"/>
    <mergeCell ref="A11:G11"/>
    <mergeCell ref="A12:B12"/>
    <mergeCell ref="C12:G12"/>
    <mergeCell ref="A13:B13"/>
    <mergeCell ref="C13:G13"/>
    <mergeCell ref="A36:C36"/>
    <mergeCell ref="A37:B37"/>
    <mergeCell ref="A43:C43"/>
    <mergeCell ref="A56:C56"/>
    <mergeCell ref="B29:C29"/>
    <mergeCell ref="B30:C30"/>
    <mergeCell ref="B33:C33"/>
    <mergeCell ref="B34:C34"/>
    <mergeCell ref="B35:D35"/>
    <mergeCell ref="B31:C31"/>
    <mergeCell ref="B32:C32"/>
    <mergeCell ref="A18:D18"/>
    <mergeCell ref="A26:C26"/>
    <mergeCell ref="B27:C27"/>
    <mergeCell ref="B28:C28"/>
    <mergeCell ref="A14:B14"/>
    <mergeCell ref="C14:G14"/>
    <mergeCell ref="A15:B15"/>
    <mergeCell ref="C15:G15"/>
    <mergeCell ref="A16:B16"/>
    <mergeCell ref="C16:G16"/>
    <mergeCell ref="B57:C57"/>
    <mergeCell ref="A64:C64"/>
    <mergeCell ref="B65:C65"/>
    <mergeCell ref="B66:C66"/>
    <mergeCell ref="B67:C67"/>
    <mergeCell ref="B68:C68"/>
    <mergeCell ref="B58:C58"/>
    <mergeCell ref="B59:C59"/>
    <mergeCell ref="B60:C60"/>
    <mergeCell ref="B61:C61"/>
    <mergeCell ref="B62:C62"/>
    <mergeCell ref="A1:G1"/>
    <mergeCell ref="A2:G2"/>
    <mergeCell ref="A4:G4"/>
    <mergeCell ref="A5:G5"/>
    <mergeCell ref="A6:G6"/>
    <mergeCell ref="A7:G7"/>
    <mergeCell ref="A8:B8"/>
    <mergeCell ref="C8:G8"/>
    <mergeCell ref="A9:B9"/>
    <mergeCell ref="C9:G9"/>
  </mergeCells>
  <pageMargins left="0.511811024" right="0.511811024" top="0.78740157499999996" bottom="0.78740157499999996" header="0.31496062000000002" footer="0.31496062000000002"/>
  <pageSetup paperSize="9" scale="84" orientation="landscape" r:id="rId1"/>
  <headerFooter>
    <oddHeader>&amp;L&amp;G&amp;CProcesso 23069.170673/2021-70
PE 32/2022&amp;R&amp;G</oddHeader>
    <oddFooter>&amp;L&amp;"-,Itálico"&amp;9&amp;A</oddFoot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15"/>
  <sheetViews>
    <sheetView zoomScaleNormal="100" workbookViewId="0">
      <selection activeCell="D3" sqref="D3"/>
    </sheetView>
  </sheetViews>
  <sheetFormatPr defaultColWidth="9" defaultRowHeight="15"/>
  <cols>
    <col min="1" max="1" width="5.28515625" bestFit="1" customWidth="1"/>
    <col min="2" max="2" width="27.5703125" bestFit="1" customWidth="1"/>
    <col min="3" max="3" width="8.5703125" customWidth="1"/>
    <col min="4" max="4" width="16.140625" customWidth="1"/>
    <col min="5" max="5" width="16.28515625" customWidth="1"/>
    <col min="6" max="6" width="20.42578125" customWidth="1"/>
    <col min="7" max="7" width="23.28515625" bestFit="1" customWidth="1"/>
    <col min="8" max="8" width="13.7109375" customWidth="1"/>
  </cols>
  <sheetData>
    <row r="1" spans="1:8" ht="14.45" customHeight="1">
      <c r="A1" s="309" t="s">
        <v>0</v>
      </c>
      <c r="B1" s="313"/>
      <c r="C1" s="313"/>
      <c r="D1" s="313"/>
      <c r="E1" s="313"/>
      <c r="F1" s="313"/>
      <c r="G1" s="313"/>
      <c r="H1" s="313"/>
    </row>
    <row r="2" spans="1:8" ht="18.75">
      <c r="A2" s="310" t="s">
        <v>1</v>
      </c>
      <c r="B2" s="310"/>
      <c r="C2" s="310"/>
      <c r="D2" s="310"/>
      <c r="E2" s="310"/>
      <c r="F2" s="310"/>
      <c r="G2" s="310"/>
      <c r="H2" s="310"/>
    </row>
    <row r="3" spans="1:8" ht="18.75">
      <c r="A3" s="1"/>
      <c r="B3" s="1"/>
      <c r="C3" s="1"/>
      <c r="D3" s="1"/>
      <c r="E3" s="1"/>
      <c r="F3" s="1"/>
      <c r="G3" s="1"/>
      <c r="H3" s="1"/>
    </row>
    <row r="4" spans="1:8" ht="14.45" customHeight="1">
      <c r="A4" s="439" t="s">
        <v>557</v>
      </c>
      <c r="B4" s="439"/>
      <c r="C4" s="439"/>
      <c r="D4" s="439"/>
      <c r="E4" s="439"/>
      <c r="F4" s="439"/>
      <c r="G4" s="439"/>
      <c r="H4" s="3"/>
    </row>
    <row r="5" spans="1:8" ht="35.450000000000003" customHeight="1">
      <c r="A5" s="440" t="s">
        <v>124</v>
      </c>
      <c r="B5" s="440"/>
      <c r="C5" s="440"/>
      <c r="D5" s="440"/>
      <c r="E5" s="440"/>
      <c r="F5" s="440"/>
      <c r="G5" s="440"/>
      <c r="H5" s="4"/>
    </row>
    <row r="7" spans="1:8">
      <c r="A7" s="441" t="s">
        <v>109</v>
      </c>
      <c r="B7" s="441"/>
      <c r="C7" s="441"/>
      <c r="D7" s="441"/>
      <c r="E7" s="441"/>
      <c r="F7" s="441"/>
      <c r="G7" s="441"/>
    </row>
    <row r="8" spans="1:8" ht="30">
      <c r="A8" s="18" t="s">
        <v>6</v>
      </c>
      <c r="B8" s="18" t="s">
        <v>110</v>
      </c>
      <c r="C8" s="18" t="s">
        <v>4</v>
      </c>
      <c r="D8" s="18" t="s">
        <v>111</v>
      </c>
      <c r="E8" s="18" t="s">
        <v>112</v>
      </c>
      <c r="F8" s="18" t="s">
        <v>113</v>
      </c>
      <c r="G8" s="18" t="s">
        <v>114</v>
      </c>
    </row>
    <row r="9" spans="1:8">
      <c r="A9" s="15">
        <v>1</v>
      </c>
      <c r="B9" s="13" t="s">
        <v>119</v>
      </c>
      <c r="C9" s="14">
        <v>507</v>
      </c>
      <c r="D9" s="14">
        <f>C9</f>
        <v>507</v>
      </c>
      <c r="E9" s="17">
        <f ca="1">'An III Custo Postos'!D157</f>
        <v>4663.6205725078462</v>
      </c>
      <c r="F9" s="17">
        <f ca="1">E9*D9</f>
        <v>2364455.630261478</v>
      </c>
      <c r="G9" s="17">
        <f ca="1">12*F9</f>
        <v>28373467.563137736</v>
      </c>
    </row>
    <row r="10" spans="1:8">
      <c r="A10" s="15">
        <v>2</v>
      </c>
      <c r="B10" s="13" t="s">
        <v>123</v>
      </c>
      <c r="C10" s="259">
        <v>1</v>
      </c>
      <c r="D10" s="259">
        <v>2</v>
      </c>
      <c r="E10" s="258">
        <f ca="1">'An III Custo Postos'!E158</f>
        <v>8744.1216359670088</v>
      </c>
      <c r="F10" s="17">
        <f ca="1">E10*C10</f>
        <v>8744.1216359670088</v>
      </c>
      <c r="G10" s="17">
        <f t="shared" ref="G10:G12" ca="1" si="0">12*F10</f>
        <v>104929.45963160411</v>
      </c>
    </row>
    <row r="11" spans="1:8">
      <c r="A11" s="15">
        <v>5</v>
      </c>
      <c r="B11" s="23" t="s">
        <v>120</v>
      </c>
      <c r="C11" s="259">
        <v>35</v>
      </c>
      <c r="D11" s="259">
        <f>C11</f>
        <v>35</v>
      </c>
      <c r="E11" s="258">
        <f ca="1">'An III Custo Postos'!F157</f>
        <v>5213.6945542976664</v>
      </c>
      <c r="F11" s="17">
        <f t="shared" ref="F11:F12" ca="1" si="1">E11*D11</f>
        <v>182479.30940041834</v>
      </c>
      <c r="G11" s="17">
        <f t="shared" ca="1" si="0"/>
        <v>2189751.7128050202</v>
      </c>
    </row>
    <row r="12" spans="1:8">
      <c r="A12" s="15">
        <v>6</v>
      </c>
      <c r="B12" s="13" t="s">
        <v>122</v>
      </c>
      <c r="C12" s="14">
        <v>16</v>
      </c>
      <c r="D12" s="14">
        <f>C12</f>
        <v>16</v>
      </c>
      <c r="E12" s="17">
        <f ca="1">'An III Custo Postos'!G157</f>
        <v>5867.933554330104</v>
      </c>
      <c r="F12" s="17">
        <f t="shared" ca="1" si="1"/>
        <v>93886.936869281664</v>
      </c>
      <c r="G12" s="17">
        <f t="shared" ca="1" si="0"/>
        <v>1126643.2424313799</v>
      </c>
      <c r="H12" s="16"/>
    </row>
    <row r="13" spans="1:8">
      <c r="A13" s="438" t="s">
        <v>54</v>
      </c>
      <c r="B13" s="438"/>
      <c r="C13" s="18">
        <f>SUM(C9:C12)</f>
        <v>559</v>
      </c>
      <c r="D13" s="18">
        <f>SUM(D9:D12)</f>
        <v>560</v>
      </c>
      <c r="E13" s="19"/>
      <c r="F13" s="19">
        <f ca="1">SUM(F9:F12)</f>
        <v>2649565.9981671451</v>
      </c>
      <c r="G13" s="19">
        <f ca="1">SUM(G9:G12)</f>
        <v>31794791.978005741</v>
      </c>
    </row>
    <row r="14" spans="1:8">
      <c r="A14" s="2"/>
    </row>
    <row r="15" spans="1:8">
      <c r="A15" s="2"/>
    </row>
  </sheetData>
  <mergeCells count="6">
    <mergeCell ref="A13:B13"/>
    <mergeCell ref="A1:H1"/>
    <mergeCell ref="A2:H2"/>
    <mergeCell ref="A4:G4"/>
    <mergeCell ref="A5:G5"/>
    <mergeCell ref="A7:G7"/>
  </mergeCells>
  <pageMargins left="0.511811023622047" right="0.511811023622047" top="0.86614173228346403" bottom="0.78740157480314998" header="0.31496062992126" footer="0.31496062992126"/>
  <pageSetup paperSize="9" scale="99" orientation="landscape" r:id="rId1"/>
  <headerFooter>
    <oddHeader>&amp;L&amp;G&amp;CProcesso 23069.170673/2021-70
PE 32/2022&amp;R&amp;G</oddHeader>
    <oddFooter>&amp;L&amp;"-,Itálico"&amp;9&amp;A&amp;R&amp;P/&amp;N</oddFooter>
  </headerFooter>
  <colBreaks count="1" manualBreakCount="1">
    <brk id="7" max="1048575" man="1"/>
  </colBreaks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56CD63-8310-450A-B740-B9B71F0F6702}">
  <dimension ref="A1:G31"/>
  <sheetViews>
    <sheetView topLeftCell="A7" zoomScaleNormal="100" workbookViewId="0">
      <selection activeCell="A2" sqref="A2:G2"/>
    </sheetView>
  </sheetViews>
  <sheetFormatPr defaultColWidth="9" defaultRowHeight="15"/>
  <cols>
    <col min="1" max="1" width="9.7109375" customWidth="1"/>
    <col min="2" max="2" width="11.5703125" customWidth="1"/>
    <col min="3" max="3" width="27.5703125" bestFit="1" customWidth="1"/>
    <col min="4" max="4" width="29" bestFit="1" customWidth="1"/>
    <col min="5" max="5" width="22" bestFit="1" customWidth="1"/>
    <col min="6" max="6" width="16.28515625" customWidth="1"/>
    <col min="7" max="7" width="13.7109375" customWidth="1"/>
  </cols>
  <sheetData>
    <row r="1" spans="1:7" ht="14.45" customHeight="1">
      <c r="A1" s="313" t="s">
        <v>0</v>
      </c>
      <c r="B1" s="313"/>
      <c r="C1" s="313"/>
      <c r="D1" s="313"/>
      <c r="E1" s="313"/>
      <c r="F1" s="313"/>
      <c r="G1" s="313"/>
    </row>
    <row r="2" spans="1:7" ht="18.75">
      <c r="A2" s="310" t="s">
        <v>1</v>
      </c>
      <c r="B2" s="310"/>
      <c r="C2" s="310"/>
      <c r="D2" s="310"/>
      <c r="E2" s="310"/>
      <c r="F2" s="310"/>
      <c r="G2" s="310"/>
    </row>
    <row r="3" spans="1:7" ht="18.75">
      <c r="A3" s="20"/>
      <c r="B3" s="20"/>
      <c r="C3" s="20"/>
      <c r="D3" s="20"/>
      <c r="E3" s="20"/>
      <c r="F3" s="20"/>
      <c r="G3" s="20"/>
    </row>
    <row r="4" spans="1:7" ht="30.75" customHeight="1">
      <c r="A4" s="439" t="s">
        <v>295</v>
      </c>
      <c r="B4" s="439"/>
      <c r="C4" s="439"/>
      <c r="D4" s="439"/>
      <c r="E4" s="439"/>
      <c r="F4" s="439"/>
      <c r="G4" s="3"/>
    </row>
    <row r="5" spans="1:7" ht="35.450000000000003" customHeight="1">
      <c r="A5" s="440" t="s">
        <v>124</v>
      </c>
      <c r="B5" s="440"/>
      <c r="C5" s="440"/>
      <c r="D5" s="440"/>
      <c r="E5" s="440"/>
      <c r="F5" s="440"/>
      <c r="G5" s="4"/>
    </row>
    <row r="6" spans="1:7" ht="15.75" thickBot="1"/>
    <row r="7" spans="1:7">
      <c r="A7" s="450" t="s">
        <v>6</v>
      </c>
      <c r="B7" s="452" t="s">
        <v>270</v>
      </c>
      <c r="C7" s="452" t="s">
        <v>271</v>
      </c>
      <c r="D7" s="452" t="s">
        <v>272</v>
      </c>
      <c r="E7" s="131" t="s">
        <v>273</v>
      </c>
      <c r="F7" s="132" t="s">
        <v>274</v>
      </c>
    </row>
    <row r="8" spans="1:7" ht="17.25">
      <c r="A8" s="451"/>
      <c r="B8" s="453"/>
      <c r="C8" s="453"/>
      <c r="D8" s="453"/>
      <c r="E8" s="133" t="s">
        <v>275</v>
      </c>
      <c r="F8" s="134" t="s">
        <v>276</v>
      </c>
    </row>
    <row r="9" spans="1:7">
      <c r="A9" s="451"/>
      <c r="B9" s="453"/>
      <c r="C9" s="453"/>
      <c r="D9" s="453"/>
      <c r="E9" s="133" t="s">
        <v>277</v>
      </c>
      <c r="F9" s="134" t="s">
        <v>278</v>
      </c>
    </row>
    <row r="10" spans="1:7" ht="15" customHeight="1">
      <c r="A10" s="447" t="s">
        <v>279</v>
      </c>
      <c r="B10" s="444">
        <f>C19</f>
        <v>448155.38999999996</v>
      </c>
      <c r="C10" s="135" t="s">
        <v>121</v>
      </c>
      <c r="D10" s="136">
        <v>16</v>
      </c>
      <c r="E10" s="137">
        <f ca="1">'Anexo IV-A Custos Final'!E12</f>
        <v>5867.933554330104</v>
      </c>
      <c r="F10" s="138">
        <f ca="1">D10*E10/$B$10</f>
        <v>0.20949639112737586</v>
      </c>
    </row>
    <row r="11" spans="1:7">
      <c r="A11" s="448"/>
      <c r="B11" s="445"/>
      <c r="C11" s="135" t="s">
        <v>280</v>
      </c>
      <c r="D11" s="136">
        <v>35</v>
      </c>
      <c r="E11" s="256">
        <f ca="1">'Anexo IV-A Custos Final'!E11</f>
        <v>5213.6945542976664</v>
      </c>
      <c r="F11" s="138">
        <f t="shared" ref="F11:F13" ca="1" si="0">D11*E11/$B$10</f>
        <v>0.40717865604699827</v>
      </c>
    </row>
    <row r="12" spans="1:7">
      <c r="A12" s="448"/>
      <c r="B12" s="445"/>
      <c r="C12" s="135" t="s">
        <v>281</v>
      </c>
      <c r="D12" s="136">
        <v>507</v>
      </c>
      <c r="E12" s="256">
        <f ca="1">'Anexo IV-A Custos Final'!E9</f>
        <v>4663.6205725078462</v>
      </c>
      <c r="F12" s="138">
        <f t="shared" ca="1" si="0"/>
        <v>5.2759727608352058</v>
      </c>
    </row>
    <row r="13" spans="1:7">
      <c r="A13" s="449"/>
      <c r="B13" s="446"/>
      <c r="C13" s="135" t="s">
        <v>282</v>
      </c>
      <c r="D13" s="136">
        <f>'Anexo IV-A Custos Final'!C10</f>
        <v>1</v>
      </c>
      <c r="E13" s="256">
        <f ca="1">'Anexo IV-A Custos Final'!E10</f>
        <v>8744.1216359670088</v>
      </c>
      <c r="F13" s="138">
        <f t="shared" ca="1" si="0"/>
        <v>1.9511361083857565E-2</v>
      </c>
    </row>
    <row r="14" spans="1:7" ht="15.75" thickBot="1">
      <c r="A14" s="139" t="s">
        <v>54</v>
      </c>
      <c r="B14" s="257">
        <f>B10</f>
        <v>448155.38999999996</v>
      </c>
      <c r="C14" s="140"/>
      <c r="D14" s="141">
        <f>SUM(D10:D13)</f>
        <v>559</v>
      </c>
      <c r="E14" s="140"/>
      <c r="F14" s="303">
        <f ca="1">SUM(F10:F13)</f>
        <v>5.9121591690934379</v>
      </c>
    </row>
    <row r="15" spans="1:7" ht="15.75" thickBot="1">
      <c r="A15" s="329"/>
      <c r="B15" s="329"/>
      <c r="C15" s="329"/>
      <c r="D15" s="329"/>
      <c r="E15" s="329"/>
      <c r="F15" s="329"/>
    </row>
    <row r="16" spans="1:7" ht="18">
      <c r="A16" s="442" t="s">
        <v>283</v>
      </c>
      <c r="B16" s="149" t="s">
        <v>284</v>
      </c>
      <c r="C16" s="149" t="s">
        <v>285</v>
      </c>
      <c r="D16" s="149" t="s">
        <v>286</v>
      </c>
      <c r="E16" s="150" t="s">
        <v>287</v>
      </c>
      <c r="F16" s="142"/>
    </row>
    <row r="17" spans="1:6" ht="18">
      <c r="A17" s="443"/>
      <c r="B17" s="153" t="s">
        <v>288</v>
      </c>
      <c r="C17" s="153" t="s">
        <v>289</v>
      </c>
      <c r="D17" s="153" t="s">
        <v>275</v>
      </c>
      <c r="E17" s="154" t="s">
        <v>290</v>
      </c>
      <c r="F17" s="142"/>
    </row>
    <row r="18" spans="1:6" ht="15.75">
      <c r="A18" s="443"/>
      <c r="B18" s="153" t="s">
        <v>291</v>
      </c>
      <c r="C18" s="153" t="s">
        <v>292</v>
      </c>
      <c r="D18" s="153" t="s">
        <v>293</v>
      </c>
      <c r="E18" s="154" t="s">
        <v>294</v>
      </c>
      <c r="F18" s="142"/>
    </row>
    <row r="19" spans="1:6" ht="31.5">
      <c r="A19" s="155" t="s">
        <v>279</v>
      </c>
      <c r="B19" s="306">
        <f ca="1">F14</f>
        <v>5.9121591690934379</v>
      </c>
      <c r="C19" s="156">
        <f>'Anexo IVC Detalhamento Postos'!C141</f>
        <v>448155.38999999996</v>
      </c>
      <c r="D19" s="156">
        <f ca="1">B19*C19</f>
        <v>2649565.9981671455</v>
      </c>
      <c r="E19" s="157">
        <f ca="1">D19*12</f>
        <v>31794791.978005745</v>
      </c>
      <c r="F19" s="142"/>
    </row>
    <row r="20" spans="1:6" ht="16.5" thickBot="1">
      <c r="A20" s="158" t="s">
        <v>54</v>
      </c>
      <c r="B20" s="159"/>
      <c r="C20" s="159"/>
      <c r="D20" s="160">
        <f ca="1">SUM(D19:D19)</f>
        <v>2649565.9981671455</v>
      </c>
      <c r="E20" s="161">
        <f ca="1">SUM(E19:E19)</f>
        <v>31794791.978005745</v>
      </c>
      <c r="F20" s="142"/>
    </row>
    <row r="21" spans="1:6">
      <c r="A21" s="142"/>
      <c r="B21" s="142"/>
      <c r="C21" s="142"/>
      <c r="D21" s="142"/>
      <c r="E21" s="142"/>
      <c r="F21" s="142"/>
    </row>
    <row r="22" spans="1:6">
      <c r="A22" s="142"/>
      <c r="B22" s="142"/>
      <c r="C22" s="142"/>
      <c r="D22" s="142"/>
      <c r="E22" s="142"/>
      <c r="F22" s="142"/>
    </row>
    <row r="23" spans="1:6">
      <c r="A23" s="142"/>
      <c r="B23" s="142"/>
      <c r="C23" s="142"/>
      <c r="D23" s="142"/>
      <c r="E23" s="142"/>
      <c r="F23" s="142"/>
    </row>
    <row r="24" spans="1:6">
      <c r="A24" s="142"/>
      <c r="B24" s="142"/>
      <c r="C24" s="142"/>
      <c r="D24" s="142"/>
      <c r="E24" s="142"/>
      <c r="F24" s="142"/>
    </row>
    <row r="25" spans="1:6">
      <c r="A25" s="142"/>
      <c r="B25" s="142"/>
      <c r="C25" s="142"/>
      <c r="D25" s="142"/>
      <c r="E25" s="142"/>
      <c r="F25" s="142"/>
    </row>
    <row r="26" spans="1:6">
      <c r="A26" s="142"/>
      <c r="B26" s="142"/>
      <c r="C26" s="142"/>
      <c r="D26" s="142"/>
      <c r="E26" s="142"/>
      <c r="F26" s="142"/>
    </row>
    <row r="27" spans="1:6">
      <c r="A27" s="142"/>
      <c r="B27" s="142"/>
      <c r="C27" s="142"/>
      <c r="D27" s="142"/>
      <c r="E27" s="142"/>
      <c r="F27" s="142"/>
    </row>
    <row r="28" spans="1:6" ht="15.75">
      <c r="A28" s="143"/>
      <c r="B28" s="143"/>
      <c r="C28" s="144"/>
      <c r="D28" s="145"/>
      <c r="E28" s="144"/>
      <c r="F28" s="143"/>
    </row>
    <row r="29" spans="1:6">
      <c r="A29" s="148"/>
      <c r="B29" s="148"/>
      <c r="C29" s="144"/>
      <c r="D29" s="144"/>
      <c r="E29" s="144"/>
      <c r="F29" s="144"/>
    </row>
    <row r="30" spans="1:6">
      <c r="A30" s="146"/>
      <c r="B30" s="146"/>
    </row>
    <row r="31" spans="1:6">
      <c r="F31" s="151"/>
    </row>
  </sheetData>
  <mergeCells count="12">
    <mergeCell ref="A16:A18"/>
    <mergeCell ref="B10:B13"/>
    <mergeCell ref="A10:A13"/>
    <mergeCell ref="A15:F15"/>
    <mergeCell ref="A1:G1"/>
    <mergeCell ref="A2:G2"/>
    <mergeCell ref="A4:F4"/>
    <mergeCell ref="A5:F5"/>
    <mergeCell ref="A7:A9"/>
    <mergeCell ref="B7:B9"/>
    <mergeCell ref="C7:C9"/>
    <mergeCell ref="D7:D9"/>
  </mergeCells>
  <pageMargins left="0.511811023622047" right="0.511811023622047" top="0.86614173228346403" bottom="0.78740157480314998" header="0.31496062992126" footer="0.31496062992126"/>
  <pageSetup paperSize="9" scale="99" orientation="landscape" r:id="rId1"/>
  <headerFooter>
    <oddHeader>&amp;L&amp;G&amp;CProcesso 23069.170673/2021-70
PE 32/2022&amp;R&amp;G</oddHeader>
    <oddFooter>&amp;L&amp;"-,Itálico"&amp;9&amp;A&amp;R&amp;P/&amp;N</oddFooter>
  </headerFooter>
  <colBreaks count="1" manualBreakCount="1">
    <brk id="6" max="1048575" man="1"/>
  </colBreaks>
  <drawing r:id="rId2"/>
  <legacyDrawing r:id="rId3"/>
  <legacyDrawingHF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E0E19D-17E0-4649-8F29-5FD616E2241F}">
  <dimension ref="A1:K162"/>
  <sheetViews>
    <sheetView tabSelected="1" topLeftCell="A129" zoomScaleNormal="100" workbookViewId="0">
      <selection activeCell="C142" sqref="C142"/>
    </sheetView>
  </sheetViews>
  <sheetFormatPr defaultColWidth="9" defaultRowHeight="15"/>
  <cols>
    <col min="1" max="1" width="14.28515625" customWidth="1"/>
    <col min="2" max="2" width="25.7109375" customWidth="1"/>
    <col min="3" max="3" width="19.140625" bestFit="1" customWidth="1"/>
    <col min="4" max="4" width="15.85546875" bestFit="1" customWidth="1"/>
    <col min="5" max="5" width="14" bestFit="1" customWidth="1"/>
    <col min="6" max="6" width="14.85546875" bestFit="1" customWidth="1"/>
    <col min="7" max="7" width="16.7109375" customWidth="1"/>
    <col min="8" max="8" width="16.5703125" bestFit="1" customWidth="1"/>
    <col min="9" max="9" width="13.7109375" customWidth="1"/>
  </cols>
  <sheetData>
    <row r="1" spans="1:11" ht="14.45" customHeight="1">
      <c r="A1" s="313" t="s">
        <v>0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</row>
    <row r="2" spans="1:11" ht="18.75">
      <c r="A2" s="310" t="s">
        <v>1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</row>
    <row r="3" spans="1:11" ht="18.75">
      <c r="A3" s="22"/>
      <c r="B3" s="22"/>
      <c r="C3" s="22"/>
      <c r="D3" s="22"/>
      <c r="E3" s="22"/>
      <c r="F3" s="22"/>
      <c r="G3" s="22"/>
      <c r="H3" s="22"/>
      <c r="I3" s="22"/>
    </row>
    <row r="4" spans="1:11" ht="14.45" customHeight="1">
      <c r="A4" s="469" t="s">
        <v>554</v>
      </c>
      <c r="B4" s="439"/>
      <c r="C4" s="439"/>
      <c r="D4" s="439"/>
      <c r="E4" s="439"/>
      <c r="F4" s="439"/>
      <c r="G4" s="439"/>
      <c r="H4" s="439"/>
      <c r="I4" s="439"/>
      <c r="J4" s="439"/>
      <c r="K4" s="439"/>
    </row>
    <row r="5" spans="1:11" ht="35.450000000000003" customHeight="1">
      <c r="A5" s="440" t="s">
        <v>124</v>
      </c>
      <c r="B5" s="440"/>
      <c r="C5" s="440"/>
      <c r="D5" s="440"/>
      <c r="E5" s="440"/>
      <c r="F5" s="440"/>
      <c r="G5" s="440"/>
      <c r="H5" s="440"/>
      <c r="I5" s="440"/>
      <c r="J5" s="440"/>
      <c r="K5" s="440"/>
    </row>
    <row r="6" spans="1:11" ht="15.75" thickBot="1"/>
    <row r="7" spans="1:11" ht="25.5" customHeight="1">
      <c r="A7" s="461" t="s">
        <v>466</v>
      </c>
      <c r="B7" s="463" t="s">
        <v>467</v>
      </c>
      <c r="C7" s="465" t="s">
        <v>468</v>
      </c>
      <c r="D7" s="465"/>
      <c r="E7" s="465"/>
      <c r="F7" s="465"/>
      <c r="G7" s="465"/>
      <c r="H7" s="465"/>
      <c r="I7" s="466" t="s">
        <v>469</v>
      </c>
      <c r="J7" s="467"/>
      <c r="K7" s="468"/>
    </row>
    <row r="8" spans="1:11" ht="33.75">
      <c r="A8" s="462"/>
      <c r="B8" s="464"/>
      <c r="C8" s="260" t="s">
        <v>470</v>
      </c>
      <c r="D8" s="260" t="s">
        <v>471</v>
      </c>
      <c r="E8" s="260" t="s">
        <v>472</v>
      </c>
      <c r="F8" s="260" t="s">
        <v>473</v>
      </c>
      <c r="G8" s="260" t="s">
        <v>474</v>
      </c>
      <c r="H8" s="260" t="s">
        <v>475</v>
      </c>
      <c r="I8" s="261" t="s">
        <v>476</v>
      </c>
      <c r="J8" s="261" t="s">
        <v>477</v>
      </c>
      <c r="K8" s="261" t="s">
        <v>121</v>
      </c>
    </row>
    <row r="9" spans="1:11">
      <c r="A9" s="460" t="s">
        <v>478</v>
      </c>
      <c r="B9" s="162" t="s">
        <v>479</v>
      </c>
      <c r="C9" s="456">
        <f>SUM(D9:H16)</f>
        <v>14274.37</v>
      </c>
      <c r="D9" s="456">
        <v>9010.02</v>
      </c>
      <c r="E9" s="456">
        <v>500</v>
      </c>
      <c r="F9" s="456">
        <v>1764.35</v>
      </c>
      <c r="G9" s="456">
        <v>1000</v>
      </c>
      <c r="H9" s="456">
        <v>2000</v>
      </c>
      <c r="I9" s="455">
        <v>17</v>
      </c>
      <c r="J9" s="455">
        <f>IF(I9="","",ROUND(I9*1/15,2))</f>
        <v>1.1299999999999999</v>
      </c>
      <c r="K9" s="455">
        <f>IF(I9="","",ROUND(I9*1/30,2))</f>
        <v>0.56999999999999995</v>
      </c>
    </row>
    <row r="10" spans="1:11">
      <c r="A10" s="460"/>
      <c r="B10" s="162" t="s">
        <v>480</v>
      </c>
      <c r="C10" s="456"/>
      <c r="D10" s="456"/>
      <c r="E10" s="456"/>
      <c r="F10" s="456"/>
      <c r="G10" s="456"/>
      <c r="H10" s="456"/>
      <c r="I10" s="455"/>
      <c r="J10" s="455"/>
      <c r="K10" s="455"/>
    </row>
    <row r="11" spans="1:11">
      <c r="A11" s="460"/>
      <c r="B11" s="162" t="s">
        <v>481</v>
      </c>
      <c r="C11" s="456"/>
      <c r="D11" s="456"/>
      <c r="E11" s="456"/>
      <c r="F11" s="456"/>
      <c r="G11" s="456"/>
      <c r="H11" s="456"/>
      <c r="I11" s="455"/>
      <c r="J11" s="455"/>
      <c r="K11" s="455"/>
    </row>
    <row r="12" spans="1:11">
      <c r="A12" s="460"/>
      <c r="B12" s="162" t="s">
        <v>482</v>
      </c>
      <c r="C12" s="456"/>
      <c r="D12" s="456"/>
      <c r="E12" s="456"/>
      <c r="F12" s="456"/>
      <c r="G12" s="456"/>
      <c r="H12" s="456"/>
      <c r="I12" s="455"/>
      <c r="J12" s="455"/>
      <c r="K12" s="455"/>
    </row>
    <row r="13" spans="1:11">
      <c r="A13" s="460"/>
      <c r="B13" s="162" t="s">
        <v>483</v>
      </c>
      <c r="C13" s="456"/>
      <c r="D13" s="456"/>
      <c r="E13" s="456"/>
      <c r="F13" s="456"/>
      <c r="G13" s="456"/>
      <c r="H13" s="456"/>
      <c r="I13" s="455"/>
      <c r="J13" s="455"/>
      <c r="K13" s="455"/>
    </row>
    <row r="14" spans="1:11">
      <c r="A14" s="460"/>
      <c r="B14" s="162" t="s">
        <v>484</v>
      </c>
      <c r="C14" s="456"/>
      <c r="D14" s="456"/>
      <c r="E14" s="456"/>
      <c r="F14" s="456"/>
      <c r="G14" s="456"/>
      <c r="H14" s="456"/>
      <c r="I14" s="455"/>
      <c r="J14" s="455"/>
      <c r="K14" s="455"/>
    </row>
    <row r="15" spans="1:11">
      <c r="A15" s="460"/>
      <c r="B15" s="162" t="s">
        <v>485</v>
      </c>
      <c r="C15" s="456"/>
      <c r="D15" s="456"/>
      <c r="E15" s="456"/>
      <c r="F15" s="456"/>
      <c r="G15" s="456"/>
      <c r="H15" s="456"/>
      <c r="I15" s="455"/>
      <c r="J15" s="455"/>
      <c r="K15" s="455"/>
    </row>
    <row r="16" spans="1:11">
      <c r="A16" s="460"/>
      <c r="B16" s="162" t="s">
        <v>486</v>
      </c>
      <c r="C16" s="456"/>
      <c r="D16" s="456"/>
      <c r="E16" s="456"/>
      <c r="F16" s="456"/>
      <c r="G16" s="456"/>
      <c r="H16" s="456"/>
      <c r="I16" s="455"/>
      <c r="J16" s="455"/>
      <c r="K16" s="455"/>
    </row>
    <row r="17" spans="1:11">
      <c r="A17" s="460"/>
      <c r="B17" s="162" t="s">
        <v>157</v>
      </c>
      <c r="C17" s="262">
        <f>SUM(D17:G17)</f>
        <v>300</v>
      </c>
      <c r="D17" s="262">
        <v>0</v>
      </c>
      <c r="E17" s="263"/>
      <c r="F17" s="263"/>
      <c r="G17" s="262">
        <v>300</v>
      </c>
      <c r="H17" s="263"/>
      <c r="I17" s="264">
        <f>D17/1000+E17/200+F17/3010/30*2+G17/300+H17/2000</f>
        <v>1</v>
      </c>
      <c r="J17" s="264">
        <f>IF(I17="","",ROUND(I17*1/15,2))</f>
        <v>7.0000000000000007E-2</v>
      </c>
      <c r="K17" s="264">
        <f>IF(I17="","",ROUND(I17*1/30,2))</f>
        <v>0.03</v>
      </c>
    </row>
    <row r="18" spans="1:11">
      <c r="A18" s="460"/>
      <c r="B18" s="162" t="s">
        <v>487</v>
      </c>
      <c r="C18" s="262">
        <f>SUM(D18:H18)</f>
        <v>3997.51</v>
      </c>
      <c r="D18" s="262">
        <v>3121.03</v>
      </c>
      <c r="E18" s="262">
        <v>182.84</v>
      </c>
      <c r="F18" s="262">
        <v>693.64</v>
      </c>
      <c r="G18" s="262">
        <v>0</v>
      </c>
      <c r="H18" s="263"/>
      <c r="I18" s="264">
        <v>4</v>
      </c>
      <c r="J18" s="264">
        <f t="shared" ref="J18:J86" si="0">IF(I18="","",ROUND(I18*1/15,2))</f>
        <v>0.27</v>
      </c>
      <c r="K18" s="264">
        <f>IF(I18="","",ROUND(I18*1/30,2))</f>
        <v>0.13</v>
      </c>
    </row>
    <row r="19" spans="1:11" ht="24">
      <c r="A19" s="460"/>
      <c r="B19" s="162" t="s">
        <v>207</v>
      </c>
      <c r="C19" s="262">
        <f>SUM(D19:H19)</f>
        <v>231.39</v>
      </c>
      <c r="D19" s="262">
        <v>160.72999999999999</v>
      </c>
      <c r="E19" s="262">
        <v>26.08</v>
      </c>
      <c r="F19" s="262">
        <v>44.58</v>
      </c>
      <c r="G19" s="262"/>
      <c r="H19" s="262"/>
      <c r="I19" s="264">
        <v>1</v>
      </c>
      <c r="J19" s="265">
        <f>IF(I19="","",ROUND(I19*1/15,2))</f>
        <v>7.0000000000000007E-2</v>
      </c>
      <c r="K19" s="265">
        <f>IF(I19="","",ROUND(I19*1/30,2))</f>
        <v>0.03</v>
      </c>
    </row>
    <row r="20" spans="1:11">
      <c r="A20" s="460"/>
      <c r="B20" s="162" t="s">
        <v>213</v>
      </c>
      <c r="C20" s="262">
        <f>SUM(D20:H20)</f>
        <v>2956.12</v>
      </c>
      <c r="D20" s="262">
        <v>1873.94</v>
      </c>
      <c r="E20" s="262">
        <v>69.069999999999993</v>
      </c>
      <c r="F20" s="262">
        <v>95.91</v>
      </c>
      <c r="G20" s="262">
        <v>151.19999999999999</v>
      </c>
      <c r="H20" s="262">
        <v>766</v>
      </c>
      <c r="I20" s="264">
        <f t="shared" ref="I20" si="1">D20/1000+E20/200+F20/300/30*2+G20/300+H20/2000</f>
        <v>3.1276033333333335</v>
      </c>
      <c r="J20" s="265">
        <f>IF(I20="","",ROUND(I20*1/15,2))</f>
        <v>0.21</v>
      </c>
      <c r="K20" s="265">
        <f>IF(I20="","",ROUND(I20*1/30,2))</f>
        <v>0.1</v>
      </c>
    </row>
    <row r="21" spans="1:11">
      <c r="A21" s="460"/>
      <c r="B21" s="162" t="s">
        <v>224</v>
      </c>
      <c r="C21" s="262">
        <f>SUM(D21:H21)</f>
        <v>7532.0599999999995</v>
      </c>
      <c r="D21" s="262">
        <v>2050.9299999999998</v>
      </c>
      <c r="E21" s="262">
        <v>127.23</v>
      </c>
      <c r="F21" s="262">
        <v>507.6</v>
      </c>
      <c r="G21" s="262">
        <v>48.3</v>
      </c>
      <c r="H21" s="262">
        <v>4798</v>
      </c>
      <c r="I21" s="264">
        <v>6</v>
      </c>
      <c r="J21" s="265">
        <f>IF(I21="","",ROUND(I21*1/15,2))</f>
        <v>0.4</v>
      </c>
      <c r="K21" s="265">
        <f>IF(I21="","",ROUND(I21*1/30,2))</f>
        <v>0.2</v>
      </c>
    </row>
    <row r="22" spans="1:11">
      <c r="A22" s="460"/>
      <c r="B22" s="162" t="s">
        <v>215</v>
      </c>
      <c r="C22" s="262">
        <f>SUM(D22:H22)</f>
        <v>808.51</v>
      </c>
      <c r="D22" s="262">
        <v>469.35</v>
      </c>
      <c r="E22" s="262">
        <v>79.099999999999994</v>
      </c>
      <c r="F22" s="262">
        <v>34.06</v>
      </c>
      <c r="G22" s="262"/>
      <c r="H22" s="262">
        <v>226</v>
      </c>
      <c r="I22" s="264">
        <v>1</v>
      </c>
      <c r="J22" s="265">
        <f t="shared" ref="J22:J23" si="2">IF(I22="","",ROUND(I22*1/15,2))</f>
        <v>7.0000000000000007E-2</v>
      </c>
      <c r="K22" s="265">
        <f t="shared" ref="K22:K23" si="3">IF(I22="","",ROUND(I22*1/30,2))</f>
        <v>0.03</v>
      </c>
    </row>
    <row r="23" spans="1:11">
      <c r="A23" s="460"/>
      <c r="B23" s="266" t="s">
        <v>217</v>
      </c>
      <c r="C23" s="262">
        <f>SUM(D23:H23)</f>
        <v>1118.96</v>
      </c>
      <c r="D23" s="267">
        <v>956.52</v>
      </c>
      <c r="E23" s="267">
        <v>24.53</v>
      </c>
      <c r="F23" s="267">
        <v>137.91</v>
      </c>
      <c r="G23" s="267"/>
      <c r="H23" s="267"/>
      <c r="I23" s="268">
        <v>1</v>
      </c>
      <c r="J23" s="269">
        <f t="shared" si="2"/>
        <v>7.0000000000000007E-2</v>
      </c>
      <c r="K23" s="269">
        <f t="shared" si="3"/>
        <v>0.03</v>
      </c>
    </row>
    <row r="24" spans="1:11">
      <c r="A24" s="460"/>
      <c r="B24" s="270" t="s">
        <v>488</v>
      </c>
      <c r="C24" s="271">
        <f>SUM(C9:C23)</f>
        <v>31218.919999999995</v>
      </c>
      <c r="D24" s="271">
        <f>SUM(D9:D23)</f>
        <v>17642.52</v>
      </c>
      <c r="E24" s="271">
        <f>SUM(E9:E23)</f>
        <v>1008.85</v>
      </c>
      <c r="F24" s="271">
        <f t="shared" ref="F24:G24" si="4">SUM(F9:F23)</f>
        <v>3278.0499999999993</v>
      </c>
      <c r="G24" s="271">
        <f t="shared" si="4"/>
        <v>1499.5</v>
      </c>
      <c r="H24" s="271">
        <f>SUM(H9:H23)</f>
        <v>7790</v>
      </c>
      <c r="I24" s="272">
        <f>SUM(I9:I23)</f>
        <v>34.127603333333333</v>
      </c>
      <c r="J24" s="272">
        <f t="shared" ref="J24:K24" si="5">SUM(J9:J23)</f>
        <v>2.2899999999999996</v>
      </c>
      <c r="K24" s="272">
        <f t="shared" si="5"/>
        <v>1.1200000000000001</v>
      </c>
    </row>
    <row r="25" spans="1:11">
      <c r="A25" s="460"/>
      <c r="B25" s="458" t="s">
        <v>489</v>
      </c>
      <c r="C25" s="458"/>
      <c r="D25" s="458"/>
      <c r="E25" s="458"/>
      <c r="F25" s="458"/>
      <c r="G25" s="458"/>
      <c r="H25" s="458"/>
      <c r="I25" s="273">
        <v>34</v>
      </c>
      <c r="J25" s="273">
        <v>2</v>
      </c>
      <c r="K25" s="273">
        <v>1</v>
      </c>
    </row>
    <row r="26" spans="1:11">
      <c r="A26" s="460" t="s">
        <v>490</v>
      </c>
      <c r="B26" s="274" t="s">
        <v>491</v>
      </c>
      <c r="C26" s="262">
        <f>SUM(D26:H26)</f>
        <v>500.96</v>
      </c>
      <c r="D26" s="262">
        <v>375.75</v>
      </c>
      <c r="E26" s="262">
        <v>15.21</v>
      </c>
      <c r="F26" s="262">
        <v>110</v>
      </c>
      <c r="G26" s="262"/>
      <c r="H26" s="262"/>
      <c r="I26" s="264">
        <v>1</v>
      </c>
      <c r="J26" s="264">
        <f t="shared" si="0"/>
        <v>7.0000000000000007E-2</v>
      </c>
      <c r="K26" s="264">
        <f t="shared" ref="K26:K86" si="6">IF(I26="","",ROUND(I26*1/30,2))</f>
        <v>0.03</v>
      </c>
    </row>
    <row r="27" spans="1:11">
      <c r="A27" s="460"/>
      <c r="B27" s="274" t="s">
        <v>492</v>
      </c>
      <c r="C27" s="262">
        <f>SUM(D27:H27)</f>
        <v>902.68</v>
      </c>
      <c r="D27" s="262">
        <v>705.41</v>
      </c>
      <c r="E27" s="262">
        <v>22.25</v>
      </c>
      <c r="F27" s="262">
        <v>175.02</v>
      </c>
      <c r="G27" s="262"/>
      <c r="H27" s="262"/>
      <c r="I27" s="264">
        <v>4</v>
      </c>
      <c r="J27" s="264">
        <f t="shared" si="0"/>
        <v>0.27</v>
      </c>
      <c r="K27" s="264">
        <f t="shared" si="6"/>
        <v>0.13</v>
      </c>
    </row>
    <row r="28" spans="1:11" ht="36">
      <c r="A28" s="460"/>
      <c r="B28" s="274" t="s">
        <v>493</v>
      </c>
      <c r="C28" s="262">
        <f>SUM(D28:H28)</f>
        <v>3839.18</v>
      </c>
      <c r="D28" s="262">
        <f>244.29+2272.77+484.45</f>
        <v>3001.5099999999998</v>
      </c>
      <c r="E28" s="262">
        <f>27.36+15.54+15.92</f>
        <v>58.82</v>
      </c>
      <c r="F28" s="262">
        <f>14.96+185.82+130</f>
        <v>330.78</v>
      </c>
      <c r="G28" s="262">
        <f>29.09+372.13+46.85</f>
        <v>448.07</v>
      </c>
      <c r="H28" s="262"/>
      <c r="I28" s="264">
        <v>2</v>
      </c>
      <c r="J28" s="264">
        <f t="shared" si="0"/>
        <v>0.13</v>
      </c>
      <c r="K28" s="264">
        <f t="shared" si="6"/>
        <v>7.0000000000000007E-2</v>
      </c>
    </row>
    <row r="29" spans="1:11">
      <c r="A29" s="460"/>
      <c r="B29" s="274" t="s">
        <v>167</v>
      </c>
      <c r="C29" s="262">
        <f>SUM(D29:H29)</f>
        <v>1904.64</v>
      </c>
      <c r="D29" s="262">
        <v>1102.6099999999999</v>
      </c>
      <c r="E29" s="262">
        <v>13.2</v>
      </c>
      <c r="F29" s="262">
        <v>315.67</v>
      </c>
      <c r="G29" s="262">
        <v>473.16</v>
      </c>
      <c r="H29" s="262"/>
      <c r="I29" s="264">
        <v>8</v>
      </c>
      <c r="J29" s="264">
        <f t="shared" si="0"/>
        <v>0.53</v>
      </c>
      <c r="K29" s="264">
        <f t="shared" si="6"/>
        <v>0.27</v>
      </c>
    </row>
    <row r="30" spans="1:11">
      <c r="A30" s="460"/>
      <c r="B30" s="274" t="s">
        <v>494</v>
      </c>
      <c r="C30" s="262">
        <f>SUM(D30:H30)</f>
        <v>2625.53</v>
      </c>
      <c r="D30" s="262">
        <v>1473.35</v>
      </c>
      <c r="E30" s="262">
        <v>244.42</v>
      </c>
      <c r="F30" s="262">
        <v>798.71</v>
      </c>
      <c r="G30" s="262">
        <v>109.05</v>
      </c>
      <c r="H30" s="262"/>
      <c r="I30" s="264">
        <v>6</v>
      </c>
      <c r="J30" s="264">
        <f t="shared" si="0"/>
        <v>0.4</v>
      </c>
      <c r="K30" s="264">
        <f t="shared" si="6"/>
        <v>0.2</v>
      </c>
    </row>
    <row r="31" spans="1:11" ht="24">
      <c r="A31" s="460"/>
      <c r="B31" s="274" t="s">
        <v>495</v>
      </c>
      <c r="C31" s="262">
        <f>SUM(D31:H31)</f>
        <v>9144.94</v>
      </c>
      <c r="D31" s="262">
        <v>6969.92</v>
      </c>
      <c r="E31" s="262">
        <v>622.33000000000004</v>
      </c>
      <c r="F31" s="262">
        <v>1121.4100000000001</v>
      </c>
      <c r="G31" s="262">
        <v>431.28</v>
      </c>
      <c r="H31" s="262"/>
      <c r="I31" s="264">
        <v>8</v>
      </c>
      <c r="J31" s="264">
        <f t="shared" si="0"/>
        <v>0.53</v>
      </c>
      <c r="K31" s="264">
        <f t="shared" si="6"/>
        <v>0.27</v>
      </c>
    </row>
    <row r="32" spans="1:11">
      <c r="A32" s="460"/>
      <c r="B32" s="274" t="s">
        <v>496</v>
      </c>
      <c r="C32" s="262">
        <f>SUM(D32:H32)</f>
        <v>2440</v>
      </c>
      <c r="D32" s="262">
        <v>2000</v>
      </c>
      <c r="E32" s="262"/>
      <c r="F32" s="262"/>
      <c r="G32" s="262">
        <v>440</v>
      </c>
      <c r="H32" s="262"/>
      <c r="I32" s="264">
        <v>2</v>
      </c>
      <c r="J32" s="264"/>
      <c r="K32" s="264"/>
    </row>
    <row r="33" spans="1:11">
      <c r="A33" s="460"/>
      <c r="B33" s="270" t="s">
        <v>488</v>
      </c>
      <c r="C33" s="271">
        <f>SUM(C26:C32)</f>
        <v>21357.93</v>
      </c>
      <c r="D33" s="271">
        <f>SUM(D26:D31)</f>
        <v>13628.55</v>
      </c>
      <c r="E33" s="271">
        <f>SUM(E26:E31)</f>
        <v>976.23</v>
      </c>
      <c r="F33" s="271">
        <f>SUM(F26:F31)</f>
        <v>2851.59</v>
      </c>
      <c r="G33" s="271">
        <f>SUM(G26:G31)</f>
        <v>1461.56</v>
      </c>
      <c r="H33" s="271">
        <f>SUM(H26:H31)</f>
        <v>0</v>
      </c>
      <c r="I33" s="275">
        <f>SUM(I26:I32)</f>
        <v>31</v>
      </c>
      <c r="J33" s="275">
        <f t="shared" ref="J33:K33" si="7">SUM(J26:J32)</f>
        <v>1.93</v>
      </c>
      <c r="K33" s="275">
        <f t="shared" si="7"/>
        <v>0.97</v>
      </c>
    </row>
    <row r="34" spans="1:11">
      <c r="A34" s="460"/>
      <c r="B34" s="458" t="s">
        <v>489</v>
      </c>
      <c r="C34" s="458"/>
      <c r="D34" s="458"/>
      <c r="E34" s="458"/>
      <c r="F34" s="458"/>
      <c r="G34" s="458"/>
      <c r="H34" s="458"/>
      <c r="I34" s="273">
        <v>31</v>
      </c>
      <c r="J34" s="273">
        <v>2</v>
      </c>
      <c r="K34" s="273">
        <v>1</v>
      </c>
    </row>
    <row r="35" spans="1:11">
      <c r="A35" s="459" t="s">
        <v>497</v>
      </c>
      <c r="B35" s="274" t="s">
        <v>498</v>
      </c>
      <c r="C35" s="262">
        <f>SUM(D35:H35)</f>
        <v>5086.83</v>
      </c>
      <c r="D35" s="262">
        <v>3115.52</v>
      </c>
      <c r="E35" s="262">
        <v>192.08</v>
      </c>
      <c r="F35" s="262">
        <v>794.15</v>
      </c>
      <c r="G35" s="262">
        <v>985.08</v>
      </c>
      <c r="H35" s="262">
        <v>0</v>
      </c>
      <c r="I35" s="264">
        <v>10</v>
      </c>
      <c r="J35" s="264">
        <f t="shared" si="0"/>
        <v>0.67</v>
      </c>
      <c r="K35" s="264">
        <f t="shared" si="6"/>
        <v>0.33</v>
      </c>
    </row>
    <row r="36" spans="1:11" ht="24">
      <c r="A36" s="459"/>
      <c r="B36" s="274" t="s">
        <v>168</v>
      </c>
      <c r="C36" s="262">
        <f>SUM(D36:H36)</f>
        <v>16716.71</v>
      </c>
      <c r="D36" s="262">
        <v>50</v>
      </c>
      <c r="E36" s="262"/>
      <c r="F36" s="262"/>
      <c r="G36" s="262"/>
      <c r="H36" s="262">
        <v>16666.71</v>
      </c>
      <c r="I36" s="264">
        <v>9</v>
      </c>
      <c r="J36" s="264">
        <f t="shared" si="0"/>
        <v>0.6</v>
      </c>
      <c r="K36" s="264">
        <f t="shared" si="6"/>
        <v>0.3</v>
      </c>
    </row>
    <row r="37" spans="1:11" ht="24">
      <c r="A37" s="459"/>
      <c r="B37" s="274" t="s">
        <v>499</v>
      </c>
      <c r="C37" s="262">
        <f>SUM(D37:H37)</f>
        <v>4327.16</v>
      </c>
      <c r="D37" s="262">
        <v>4085.44</v>
      </c>
      <c r="E37" s="262">
        <v>230.26</v>
      </c>
      <c r="F37" s="262">
        <v>11.46</v>
      </c>
      <c r="G37" s="262"/>
      <c r="H37" s="262"/>
      <c r="I37" s="264">
        <v>5</v>
      </c>
      <c r="J37" s="264">
        <f t="shared" si="0"/>
        <v>0.33</v>
      </c>
      <c r="K37" s="264">
        <f t="shared" si="6"/>
        <v>0.17</v>
      </c>
    </row>
    <row r="38" spans="1:11">
      <c r="A38" s="459"/>
      <c r="B38" s="274" t="s">
        <v>500</v>
      </c>
      <c r="C38" s="262">
        <f>SUM(D38:H38)</f>
        <v>3300.71</v>
      </c>
      <c r="D38" s="262">
        <v>3029.8</v>
      </c>
      <c r="E38" s="262"/>
      <c r="F38" s="262">
        <v>270.91000000000003</v>
      </c>
      <c r="G38" s="262"/>
      <c r="H38" s="262"/>
      <c r="I38" s="264">
        <v>3</v>
      </c>
      <c r="J38" s="264">
        <f t="shared" si="0"/>
        <v>0.2</v>
      </c>
      <c r="K38" s="264">
        <f t="shared" si="6"/>
        <v>0.1</v>
      </c>
    </row>
    <row r="39" spans="1:11">
      <c r="A39" s="459"/>
      <c r="B39" s="270" t="s">
        <v>488</v>
      </c>
      <c r="C39" s="271">
        <f>SUM(C35:C38)</f>
        <v>29431.41</v>
      </c>
      <c r="D39" s="271">
        <f t="shared" ref="D39:H39" si="8">SUM(D34:D38)</f>
        <v>10280.76</v>
      </c>
      <c r="E39" s="271">
        <f t="shared" si="8"/>
        <v>422.34000000000003</v>
      </c>
      <c r="F39" s="271">
        <f t="shared" si="8"/>
        <v>1076.52</v>
      </c>
      <c r="G39" s="271">
        <f t="shared" si="8"/>
        <v>985.08</v>
      </c>
      <c r="H39" s="271">
        <f t="shared" si="8"/>
        <v>16666.71</v>
      </c>
      <c r="I39" s="272">
        <f>SUM(I35:I38)</f>
        <v>27</v>
      </c>
      <c r="J39" s="272">
        <f t="shared" ref="J39:K39" si="9">SUM(J35:J38)</f>
        <v>1.8</v>
      </c>
      <c r="K39" s="272">
        <f t="shared" si="9"/>
        <v>0.9</v>
      </c>
    </row>
    <row r="40" spans="1:11">
      <c r="A40" s="459"/>
      <c r="B40" s="458" t="s">
        <v>489</v>
      </c>
      <c r="C40" s="458"/>
      <c r="D40" s="458"/>
      <c r="E40" s="458"/>
      <c r="F40" s="458"/>
      <c r="G40" s="458"/>
      <c r="H40" s="458"/>
      <c r="I40" s="273">
        <v>27</v>
      </c>
      <c r="J40" s="276">
        <v>2</v>
      </c>
      <c r="K40" s="276">
        <v>1</v>
      </c>
    </row>
    <row r="41" spans="1:11">
      <c r="A41" s="459" t="s">
        <v>501</v>
      </c>
      <c r="B41" s="274" t="s">
        <v>170</v>
      </c>
      <c r="C41" s="262">
        <f>SUM(D41:H41)</f>
        <v>1119.22</v>
      </c>
      <c r="D41" s="262">
        <v>551.22</v>
      </c>
      <c r="E41" s="263">
        <v>32.020000000000003</v>
      </c>
      <c r="F41" s="262">
        <v>418.73</v>
      </c>
      <c r="G41" s="263">
        <v>15.25</v>
      </c>
      <c r="H41" s="263">
        <v>102</v>
      </c>
      <c r="I41" s="264">
        <v>0.5</v>
      </c>
      <c r="J41" s="264">
        <f t="shared" si="0"/>
        <v>0.03</v>
      </c>
      <c r="K41" s="264">
        <f t="shared" si="6"/>
        <v>0.02</v>
      </c>
    </row>
    <row r="42" spans="1:11">
      <c r="A42" s="459"/>
      <c r="B42" s="274" t="s">
        <v>171</v>
      </c>
      <c r="C42" s="262">
        <f>SUM(D42:H42)</f>
        <v>6549.2300000000005</v>
      </c>
      <c r="D42" s="262">
        <v>3392.55</v>
      </c>
      <c r="E42" s="263">
        <v>576.4</v>
      </c>
      <c r="F42" s="262">
        <v>594.89</v>
      </c>
      <c r="G42" s="263">
        <v>1985.39</v>
      </c>
      <c r="H42" s="263"/>
      <c r="I42" s="264">
        <f t="shared" ref="I42" si="10">D42/1000+E42/200+F42/300/30*2+G42/300+H42/2000</f>
        <v>13.024714444444445</v>
      </c>
      <c r="J42" s="264">
        <f t="shared" si="0"/>
        <v>0.87</v>
      </c>
      <c r="K42" s="264">
        <f t="shared" si="6"/>
        <v>0.43</v>
      </c>
    </row>
    <row r="43" spans="1:11">
      <c r="A43" s="459"/>
      <c r="B43" s="274" t="s">
        <v>172</v>
      </c>
      <c r="C43" s="262">
        <f>SUM(D43:H43)</f>
        <v>887.98</v>
      </c>
      <c r="D43" s="262">
        <v>325.81</v>
      </c>
      <c r="E43" s="263">
        <v>77.819999999999993</v>
      </c>
      <c r="F43" s="262">
        <v>154.13</v>
      </c>
      <c r="G43" s="263">
        <v>330.22</v>
      </c>
      <c r="H43" s="263"/>
      <c r="I43" s="264">
        <v>2</v>
      </c>
      <c r="J43" s="264">
        <f t="shared" si="0"/>
        <v>0.13</v>
      </c>
      <c r="K43" s="264">
        <f t="shared" si="6"/>
        <v>7.0000000000000007E-2</v>
      </c>
    </row>
    <row r="44" spans="1:11">
      <c r="A44" s="459"/>
      <c r="B44" s="274" t="s">
        <v>173</v>
      </c>
      <c r="C44" s="262">
        <f>SUM(D44:H44)</f>
        <v>1519.17</v>
      </c>
      <c r="D44" s="262">
        <v>660.15</v>
      </c>
      <c r="E44" s="263">
        <v>100.69</v>
      </c>
      <c r="F44" s="262">
        <v>184.69</v>
      </c>
      <c r="G44" s="263">
        <v>573.64</v>
      </c>
      <c r="H44" s="263"/>
      <c r="I44" s="264">
        <v>14</v>
      </c>
      <c r="J44" s="264">
        <f t="shared" si="0"/>
        <v>0.93</v>
      </c>
      <c r="K44" s="264">
        <f t="shared" si="6"/>
        <v>0.47</v>
      </c>
    </row>
    <row r="45" spans="1:11">
      <c r="A45" s="459"/>
      <c r="B45" s="274" t="s">
        <v>174</v>
      </c>
      <c r="C45" s="262">
        <f>SUM(D45:H45)</f>
        <v>5126.0099999999993</v>
      </c>
      <c r="D45" s="262">
        <v>4414.9799999999996</v>
      </c>
      <c r="E45" s="263">
        <v>216.13</v>
      </c>
      <c r="F45" s="262">
        <v>494.9</v>
      </c>
      <c r="G45" s="263">
        <v>0</v>
      </c>
      <c r="H45" s="263"/>
      <c r="I45" s="264">
        <v>9</v>
      </c>
      <c r="J45" s="264">
        <f t="shared" si="0"/>
        <v>0.6</v>
      </c>
      <c r="K45" s="264">
        <f t="shared" si="6"/>
        <v>0.3</v>
      </c>
    </row>
    <row r="46" spans="1:11">
      <c r="A46" s="459"/>
      <c r="B46" s="270" t="s">
        <v>488</v>
      </c>
      <c r="C46" s="271">
        <f>SUM(C41:C45)</f>
        <v>15201.61</v>
      </c>
      <c r="D46" s="271">
        <f>SUM(D41:D45)</f>
        <v>9344.7099999999991</v>
      </c>
      <c r="E46" s="271">
        <f t="shared" ref="E46:H46" si="11">SUM(E41:E45)</f>
        <v>1003.0600000000001</v>
      </c>
      <c r="F46" s="271">
        <f>SUM(F41:F45)</f>
        <v>1847.3400000000001</v>
      </c>
      <c r="G46" s="271">
        <f t="shared" si="11"/>
        <v>2904.5</v>
      </c>
      <c r="H46" s="271">
        <f t="shared" si="11"/>
        <v>102</v>
      </c>
      <c r="I46" s="272">
        <f>SUM(I41:I45)</f>
        <v>38.524714444444442</v>
      </c>
      <c r="J46" s="272">
        <f t="shared" ref="J46:K46" si="12">SUM(J41:J45)</f>
        <v>2.56</v>
      </c>
      <c r="K46" s="272">
        <f t="shared" si="12"/>
        <v>1.29</v>
      </c>
    </row>
    <row r="47" spans="1:11">
      <c r="A47" s="459"/>
      <c r="B47" s="458" t="s">
        <v>489</v>
      </c>
      <c r="C47" s="458"/>
      <c r="D47" s="458"/>
      <c r="E47" s="458"/>
      <c r="F47" s="458"/>
      <c r="G47" s="458"/>
      <c r="H47" s="458"/>
      <c r="I47" s="276">
        <v>39</v>
      </c>
      <c r="J47" s="276">
        <v>2</v>
      </c>
      <c r="K47" s="276">
        <v>1</v>
      </c>
    </row>
    <row r="48" spans="1:11" ht="24">
      <c r="A48" s="460" t="s">
        <v>502</v>
      </c>
      <c r="B48" s="162" t="s">
        <v>558</v>
      </c>
      <c r="C48" s="169">
        <f>SUM(D48:H48)</f>
        <v>5070.8100000000004</v>
      </c>
      <c r="D48" s="169">
        <f>3670.23+216.06</f>
        <v>3886.29</v>
      </c>
      <c r="E48" s="169">
        <f>224.3+10.88</f>
        <v>235.18</v>
      </c>
      <c r="F48" s="169">
        <f>804.13+80.33</f>
        <v>884.46</v>
      </c>
      <c r="G48" s="169">
        <v>64.88</v>
      </c>
      <c r="H48" s="169"/>
      <c r="I48" s="264">
        <v>6</v>
      </c>
      <c r="J48" s="265">
        <f t="shared" ref="J48:J50" si="13">IF(I48="","",ROUND(I48*1/15,2))</f>
        <v>0.4</v>
      </c>
      <c r="K48" s="265">
        <f t="shared" ref="K48:K50" si="14">IF(I48="","",ROUND(I48*1/30,2))</f>
        <v>0.2</v>
      </c>
    </row>
    <row r="49" spans="1:11">
      <c r="A49" s="460"/>
      <c r="B49" s="162" t="s">
        <v>192</v>
      </c>
      <c r="C49" s="305">
        <f>SUM(D49:H49)</f>
        <v>4134.58</v>
      </c>
      <c r="D49" s="262">
        <v>3309.36</v>
      </c>
      <c r="E49" s="262">
        <v>145.33000000000001</v>
      </c>
      <c r="F49" s="262">
        <v>679.89</v>
      </c>
      <c r="G49" s="262"/>
      <c r="H49" s="262"/>
      <c r="I49" s="264">
        <v>6</v>
      </c>
      <c r="J49" s="265">
        <f t="shared" si="13"/>
        <v>0.4</v>
      </c>
      <c r="K49" s="265">
        <f t="shared" si="14"/>
        <v>0.2</v>
      </c>
    </row>
    <row r="50" spans="1:11">
      <c r="A50" s="460"/>
      <c r="B50" s="162" t="s">
        <v>193</v>
      </c>
      <c r="C50" s="305">
        <f>SUM(D50:H50)</f>
        <v>4411.32</v>
      </c>
      <c r="D50" s="262">
        <v>3460.99</v>
      </c>
      <c r="E50" s="262">
        <v>145.47999999999999</v>
      </c>
      <c r="F50" s="262">
        <v>804.85</v>
      </c>
      <c r="G50" s="262"/>
      <c r="H50" s="262"/>
      <c r="I50" s="264">
        <v>6</v>
      </c>
      <c r="J50" s="265">
        <f t="shared" si="13"/>
        <v>0.4</v>
      </c>
      <c r="K50" s="265">
        <f t="shared" si="14"/>
        <v>0.2</v>
      </c>
    </row>
    <row r="51" spans="1:11" ht="24">
      <c r="A51" s="460"/>
      <c r="B51" s="162" t="s">
        <v>181</v>
      </c>
      <c r="C51" s="305">
        <f>SUM(D51:H51)</f>
        <v>4334.45</v>
      </c>
      <c r="D51" s="262">
        <v>3426</v>
      </c>
      <c r="E51" s="262">
        <v>164.05</v>
      </c>
      <c r="F51" s="262">
        <v>744.4</v>
      </c>
      <c r="G51" s="262"/>
      <c r="H51" s="262"/>
      <c r="I51" s="264">
        <v>6</v>
      </c>
      <c r="J51" s="264">
        <f t="shared" si="0"/>
        <v>0.4</v>
      </c>
      <c r="K51" s="264">
        <f t="shared" si="6"/>
        <v>0.2</v>
      </c>
    </row>
    <row r="52" spans="1:11" ht="24">
      <c r="A52" s="460"/>
      <c r="B52" s="162" t="s">
        <v>183</v>
      </c>
      <c r="C52" s="305">
        <f>SUM(D52:H52)</f>
        <v>4234.34</v>
      </c>
      <c r="D52" s="262">
        <v>3361.24</v>
      </c>
      <c r="E52" s="262">
        <v>145.27000000000001</v>
      </c>
      <c r="F52" s="262">
        <v>727.83</v>
      </c>
      <c r="G52" s="262"/>
      <c r="H52" s="262"/>
      <c r="I52" s="264">
        <v>6</v>
      </c>
      <c r="J52" s="264">
        <f t="shared" si="0"/>
        <v>0.4</v>
      </c>
      <c r="K52" s="264">
        <f t="shared" si="6"/>
        <v>0.2</v>
      </c>
    </row>
    <row r="53" spans="1:11" ht="24">
      <c r="A53" s="460"/>
      <c r="B53" s="162" t="s">
        <v>184</v>
      </c>
      <c r="C53" s="305">
        <f>SUM(D53:H53)</f>
        <v>4994.51</v>
      </c>
      <c r="D53" s="262">
        <v>3772.53</v>
      </c>
      <c r="E53" s="262">
        <v>230.9</v>
      </c>
      <c r="F53" s="262">
        <v>991.08</v>
      </c>
      <c r="G53" s="262"/>
      <c r="H53" s="262"/>
      <c r="I53" s="264">
        <v>6</v>
      </c>
      <c r="J53" s="264">
        <f t="shared" si="0"/>
        <v>0.4</v>
      </c>
      <c r="K53" s="264">
        <f t="shared" si="6"/>
        <v>0.2</v>
      </c>
    </row>
    <row r="54" spans="1:11" ht="24">
      <c r="A54" s="460"/>
      <c r="B54" s="162" t="s">
        <v>234</v>
      </c>
      <c r="C54" s="305">
        <f>SUM(D54:H54)</f>
        <v>5526.4599999999991</v>
      </c>
      <c r="D54" s="262">
        <v>3895.75</v>
      </c>
      <c r="E54" s="262">
        <v>223.74</v>
      </c>
      <c r="F54" s="262">
        <v>264.57</v>
      </c>
      <c r="G54" s="262"/>
      <c r="H54" s="262">
        <v>1142.4000000000001</v>
      </c>
      <c r="I54" s="264">
        <v>7</v>
      </c>
      <c r="J54" s="265">
        <f t="shared" si="0"/>
        <v>0.47</v>
      </c>
      <c r="K54" s="265">
        <f t="shared" si="6"/>
        <v>0.23</v>
      </c>
    </row>
    <row r="55" spans="1:11">
      <c r="A55" s="460"/>
      <c r="B55" s="162" t="s">
        <v>236</v>
      </c>
      <c r="C55" s="305">
        <f>SUM(D55:H55)</f>
        <v>705.06000000000006</v>
      </c>
      <c r="D55" s="262">
        <v>514.46</v>
      </c>
      <c r="E55" s="262">
        <v>40.549999999999997</v>
      </c>
      <c r="F55" s="262">
        <v>122.97</v>
      </c>
      <c r="G55" s="262">
        <v>27.08</v>
      </c>
      <c r="H55" s="262"/>
      <c r="I55" s="264">
        <v>2</v>
      </c>
      <c r="J55" s="265">
        <f t="shared" si="0"/>
        <v>0.13</v>
      </c>
      <c r="K55" s="265">
        <f t="shared" si="6"/>
        <v>7.0000000000000007E-2</v>
      </c>
    </row>
    <row r="56" spans="1:11">
      <c r="A56" s="460"/>
      <c r="B56" s="270" t="s">
        <v>488</v>
      </c>
      <c r="C56" s="271">
        <f>SUM(C48:C55)</f>
        <v>33411.53</v>
      </c>
      <c r="D56" s="271">
        <f t="shared" ref="D56:H56" si="15">SUM(D49:D55)</f>
        <v>21740.329999999998</v>
      </c>
      <c r="E56" s="271">
        <f t="shared" si="15"/>
        <v>1095.32</v>
      </c>
      <c r="F56" s="271">
        <f t="shared" si="15"/>
        <v>4335.59</v>
      </c>
      <c r="G56" s="271">
        <f t="shared" si="15"/>
        <v>27.08</v>
      </c>
      <c r="H56" s="271">
        <f t="shared" si="15"/>
        <v>1142.4000000000001</v>
      </c>
      <c r="I56" s="275">
        <f>SUM(I48:I55)</f>
        <v>45</v>
      </c>
      <c r="J56" s="275">
        <f t="shared" ref="J56:K56" si="16">SUM(J48:J55)</f>
        <v>3</v>
      </c>
      <c r="K56" s="275">
        <f t="shared" si="16"/>
        <v>1.5</v>
      </c>
    </row>
    <row r="57" spans="1:11">
      <c r="A57" s="460"/>
      <c r="B57" s="458" t="s">
        <v>489</v>
      </c>
      <c r="C57" s="458"/>
      <c r="D57" s="458"/>
      <c r="E57" s="458"/>
      <c r="F57" s="458"/>
      <c r="G57" s="458"/>
      <c r="H57" s="458"/>
      <c r="I57" s="276">
        <v>45</v>
      </c>
      <c r="J57" s="276">
        <v>3</v>
      </c>
      <c r="K57" s="276">
        <v>1</v>
      </c>
    </row>
    <row r="58" spans="1:11" ht="24">
      <c r="A58" s="460" t="s">
        <v>503</v>
      </c>
      <c r="B58" s="162" t="s">
        <v>504</v>
      </c>
      <c r="C58" s="262">
        <f>SUM(D58:H58)</f>
        <v>4851.2</v>
      </c>
      <c r="D58" s="262">
        <v>3758.68</v>
      </c>
      <c r="E58" s="262">
        <v>241.69</v>
      </c>
      <c r="F58" s="262">
        <v>850.83</v>
      </c>
      <c r="G58" s="262"/>
      <c r="H58" s="262"/>
      <c r="I58" s="264">
        <v>6</v>
      </c>
      <c r="J58" s="264">
        <f>IF(I58="","",ROUND(I58*1/15,2))</f>
        <v>0.4</v>
      </c>
      <c r="K58" s="264">
        <f>IF(I58="","",ROUND(I58*1/30,2))</f>
        <v>0.2</v>
      </c>
    </row>
    <row r="59" spans="1:11" ht="24">
      <c r="A59" s="460"/>
      <c r="B59" s="162" t="s">
        <v>186</v>
      </c>
      <c r="C59" s="262">
        <f>SUM(D59:H59)</f>
        <v>4953.47</v>
      </c>
      <c r="D59" s="262">
        <v>3789.94</v>
      </c>
      <c r="E59" s="262">
        <v>208.61</v>
      </c>
      <c r="F59" s="262">
        <v>954.92</v>
      </c>
      <c r="G59" s="262"/>
      <c r="H59" s="262"/>
      <c r="I59" s="264">
        <v>6</v>
      </c>
      <c r="J59" s="264">
        <f>IF(I59="","",ROUND(I59*1/15,2))</f>
        <v>0.4</v>
      </c>
      <c r="K59" s="264">
        <f>IF(I59="","",ROUND(I59*1/30,2))</f>
        <v>0.2</v>
      </c>
    </row>
    <row r="60" spans="1:11" ht="24">
      <c r="A60" s="460"/>
      <c r="B60" s="162" t="s">
        <v>188</v>
      </c>
      <c r="C60" s="262">
        <f>SUM(D60:H60)</f>
        <v>1558.66</v>
      </c>
      <c r="D60" s="262">
        <v>1044.9100000000001</v>
      </c>
      <c r="E60" s="262">
        <v>199.29</v>
      </c>
      <c r="F60" s="262">
        <v>314.45999999999998</v>
      </c>
      <c r="G60" s="262"/>
      <c r="H60" s="262"/>
      <c r="I60" s="264">
        <v>3</v>
      </c>
      <c r="J60" s="265">
        <f t="shared" ref="J60:J62" si="17">IF(I60="","",ROUND(I60*1/15,2))</f>
        <v>0.2</v>
      </c>
      <c r="K60" s="265">
        <f t="shared" ref="K60:K62" si="18">IF(I60="","",ROUND(I60*1/30,2))</f>
        <v>0.1</v>
      </c>
    </row>
    <row r="61" spans="1:11">
      <c r="A61" s="460"/>
      <c r="B61" s="162" t="s">
        <v>208</v>
      </c>
      <c r="C61" s="262">
        <f>SUM(D61:H61)</f>
        <v>4691.75</v>
      </c>
      <c r="D61" s="262">
        <v>4021.13</v>
      </c>
      <c r="E61" s="262">
        <v>396.94</v>
      </c>
      <c r="F61" s="262">
        <v>273.68</v>
      </c>
      <c r="G61" s="262"/>
      <c r="H61" s="262"/>
      <c r="I61" s="264">
        <v>4</v>
      </c>
      <c r="J61" s="265">
        <f t="shared" si="17"/>
        <v>0.27</v>
      </c>
      <c r="K61" s="265">
        <f t="shared" si="18"/>
        <v>0.13</v>
      </c>
    </row>
    <row r="62" spans="1:11" ht="24">
      <c r="A62" s="460"/>
      <c r="B62" s="162" t="s">
        <v>203</v>
      </c>
      <c r="C62" s="262">
        <f>SUM(D62:H62)</f>
        <v>2461.8700000000003</v>
      </c>
      <c r="D62" s="262">
        <v>2228.5700000000002</v>
      </c>
      <c r="E62" s="262">
        <v>49.28</v>
      </c>
      <c r="F62" s="262">
        <v>184.02</v>
      </c>
      <c r="G62" s="262"/>
      <c r="H62" s="262"/>
      <c r="I62" s="264">
        <v>6</v>
      </c>
      <c r="J62" s="265">
        <f t="shared" si="17"/>
        <v>0.4</v>
      </c>
      <c r="K62" s="265">
        <f t="shared" si="18"/>
        <v>0.2</v>
      </c>
    </row>
    <row r="63" spans="1:11" ht="36">
      <c r="A63" s="460"/>
      <c r="B63" s="162" t="s">
        <v>505</v>
      </c>
      <c r="C63" s="262">
        <f>SUM(D63:H63)</f>
        <v>8141.28</v>
      </c>
      <c r="D63" s="262">
        <v>6506.91</v>
      </c>
      <c r="E63" s="262">
        <v>102.78</v>
      </c>
      <c r="F63" s="262">
        <v>1531.59</v>
      </c>
      <c r="G63" s="262"/>
      <c r="H63" s="262"/>
      <c r="I63" s="264">
        <v>9</v>
      </c>
      <c r="J63" s="265">
        <f>IF(I63="","",ROUND(I63*1/15,2))</f>
        <v>0.6</v>
      </c>
      <c r="K63" s="265">
        <f>IF(I63="","",ROUND(I63*1/30,2))</f>
        <v>0.3</v>
      </c>
    </row>
    <row r="64" spans="1:11">
      <c r="A64" s="460"/>
      <c r="B64" s="270" t="s">
        <v>488</v>
      </c>
      <c r="C64" s="271">
        <f>SUM(C58:C63)</f>
        <v>26658.23</v>
      </c>
      <c r="D64" s="271">
        <f t="shared" ref="D64:H64" si="19">SUM(D57:D63)</f>
        <v>21350.14</v>
      </c>
      <c r="E64" s="271">
        <f t="shared" si="19"/>
        <v>1198.5899999999999</v>
      </c>
      <c r="F64" s="271">
        <f t="shared" si="19"/>
        <v>4109.5</v>
      </c>
      <c r="G64" s="271">
        <f t="shared" si="19"/>
        <v>0</v>
      </c>
      <c r="H64" s="271">
        <f t="shared" si="19"/>
        <v>0</v>
      </c>
      <c r="I64" s="275">
        <f>SUM(I58:I63)</f>
        <v>34</v>
      </c>
      <c r="J64" s="275">
        <f t="shared" ref="J64:K64" si="20">SUM(J58:J63)</f>
        <v>2.27</v>
      </c>
      <c r="K64" s="275">
        <f t="shared" si="20"/>
        <v>1.1300000000000001</v>
      </c>
    </row>
    <row r="65" spans="1:11">
      <c r="A65" s="460"/>
      <c r="B65" s="458" t="s">
        <v>489</v>
      </c>
      <c r="C65" s="458"/>
      <c r="D65" s="458"/>
      <c r="E65" s="458"/>
      <c r="F65" s="458"/>
      <c r="G65" s="458"/>
      <c r="H65" s="458"/>
      <c r="I65" s="276">
        <v>34</v>
      </c>
      <c r="J65" s="276">
        <v>2</v>
      </c>
      <c r="K65" s="276">
        <v>1</v>
      </c>
    </row>
    <row r="66" spans="1:11" ht="24">
      <c r="A66" s="460" t="s">
        <v>506</v>
      </c>
      <c r="B66" s="162" t="s">
        <v>507</v>
      </c>
      <c r="C66" s="262">
        <f>SUM(D66:H66)</f>
        <v>50</v>
      </c>
      <c r="D66" s="262">
        <v>50</v>
      </c>
      <c r="E66" s="262"/>
      <c r="F66" s="262"/>
      <c r="G66" s="262"/>
      <c r="H66" s="262"/>
      <c r="I66" s="264">
        <f t="shared" ref="I66" si="21">D66/1000+E66/200+F66/300/30*2+G66/300+H66/2000</f>
        <v>0.05</v>
      </c>
      <c r="J66" s="265">
        <f t="shared" si="0"/>
        <v>0</v>
      </c>
      <c r="K66" s="265">
        <f t="shared" si="6"/>
        <v>0</v>
      </c>
    </row>
    <row r="67" spans="1:11" ht="24">
      <c r="A67" s="460"/>
      <c r="B67" s="162" t="s">
        <v>508</v>
      </c>
      <c r="C67" s="262">
        <f>SUM(D67:H67)</f>
        <v>37416.339999999997</v>
      </c>
      <c r="D67" s="262">
        <v>50</v>
      </c>
      <c r="E67" s="262"/>
      <c r="F67" s="262"/>
      <c r="G67" s="262"/>
      <c r="H67" s="262">
        <v>37366.339999999997</v>
      </c>
      <c r="I67" s="264">
        <v>19</v>
      </c>
      <c r="J67" s="265">
        <f t="shared" si="0"/>
        <v>1.27</v>
      </c>
      <c r="K67" s="265">
        <f t="shared" si="6"/>
        <v>0.63</v>
      </c>
    </row>
    <row r="68" spans="1:11">
      <c r="A68" s="460"/>
      <c r="B68" s="162" t="s">
        <v>179</v>
      </c>
      <c r="C68" s="262">
        <f>SUM(D68:H68)</f>
        <v>8828.93</v>
      </c>
      <c r="D68" s="262">
        <v>3106.93</v>
      </c>
      <c r="E68" s="262">
        <v>215.5</v>
      </c>
      <c r="F68" s="262">
        <v>1116.08</v>
      </c>
      <c r="G68" s="262">
        <v>4390.42</v>
      </c>
      <c r="H68" s="262"/>
      <c r="I68" s="264">
        <v>15</v>
      </c>
      <c r="J68" s="264">
        <f t="shared" si="0"/>
        <v>1</v>
      </c>
      <c r="K68" s="264">
        <f t="shared" si="6"/>
        <v>0.5</v>
      </c>
    </row>
    <row r="69" spans="1:11">
      <c r="A69" s="460"/>
      <c r="B69" s="270" t="s">
        <v>488</v>
      </c>
      <c r="C69" s="271">
        <f>SUM(C66:C68)</f>
        <v>46295.27</v>
      </c>
      <c r="D69" s="271">
        <f t="shared" ref="D69:K69" si="22">SUM(D66:D68)</f>
        <v>3206.93</v>
      </c>
      <c r="E69" s="271">
        <f t="shared" si="22"/>
        <v>215.5</v>
      </c>
      <c r="F69" s="271">
        <f t="shared" si="22"/>
        <v>1116.08</v>
      </c>
      <c r="G69" s="271">
        <f t="shared" si="22"/>
        <v>4390.42</v>
      </c>
      <c r="H69" s="271">
        <f t="shared" si="22"/>
        <v>37366.339999999997</v>
      </c>
      <c r="I69" s="275">
        <f t="shared" si="22"/>
        <v>34.049999999999997</v>
      </c>
      <c r="J69" s="275">
        <f t="shared" si="22"/>
        <v>2.27</v>
      </c>
      <c r="K69" s="275">
        <f t="shared" si="22"/>
        <v>1.1299999999999999</v>
      </c>
    </row>
    <row r="70" spans="1:11">
      <c r="A70" s="460"/>
      <c r="B70" s="458" t="s">
        <v>489</v>
      </c>
      <c r="C70" s="458"/>
      <c r="D70" s="458"/>
      <c r="E70" s="458"/>
      <c r="F70" s="458"/>
      <c r="G70" s="458"/>
      <c r="H70" s="458"/>
      <c r="I70" s="276">
        <v>34</v>
      </c>
      <c r="J70" s="276">
        <v>2</v>
      </c>
      <c r="K70" s="276">
        <v>1</v>
      </c>
    </row>
    <row r="71" spans="1:11">
      <c r="A71" s="460" t="s">
        <v>509</v>
      </c>
      <c r="B71" s="162" t="s">
        <v>510</v>
      </c>
      <c r="C71" s="267">
        <f>SUM(D71:H71)</f>
        <v>8963.57</v>
      </c>
      <c r="D71" s="267">
        <v>8709.2999999999993</v>
      </c>
      <c r="E71" s="267">
        <v>254.27</v>
      </c>
      <c r="F71" s="267">
        <v>0</v>
      </c>
      <c r="G71" s="262">
        <v>0</v>
      </c>
      <c r="H71" s="262">
        <v>0</v>
      </c>
      <c r="I71" s="264">
        <v>9</v>
      </c>
      <c r="J71" s="265">
        <f t="shared" ref="J71" si="23">IF(I71="","",ROUND(I71*1/15,2))</f>
        <v>0.6</v>
      </c>
      <c r="K71" s="265">
        <f t="shared" ref="K71" si="24">IF(I71="","",ROUND(I71*1/30,2))</f>
        <v>0.3</v>
      </c>
    </row>
    <row r="72" spans="1:11" ht="24">
      <c r="A72" s="460"/>
      <c r="B72" s="162" t="s">
        <v>189</v>
      </c>
      <c r="C72" s="267">
        <f>SUM(D72:H72)</f>
        <v>4367.38</v>
      </c>
      <c r="D72" s="262">
        <v>3385.57</v>
      </c>
      <c r="E72" s="262">
        <v>252.86</v>
      </c>
      <c r="F72" s="262">
        <v>728.95</v>
      </c>
      <c r="G72" s="262"/>
      <c r="H72" s="262"/>
      <c r="I72" s="264">
        <v>6</v>
      </c>
      <c r="J72" s="265">
        <f t="shared" si="0"/>
        <v>0.4</v>
      </c>
      <c r="K72" s="265">
        <f t="shared" si="6"/>
        <v>0.2</v>
      </c>
    </row>
    <row r="73" spans="1:11" ht="24">
      <c r="A73" s="460"/>
      <c r="B73" s="162" t="s">
        <v>190</v>
      </c>
      <c r="C73" s="267">
        <f>SUM(D73:H73)</f>
        <v>4492.8900000000003</v>
      </c>
      <c r="D73" s="262">
        <v>3345.08</v>
      </c>
      <c r="E73" s="262">
        <v>180.78</v>
      </c>
      <c r="F73" s="262">
        <v>967.03</v>
      </c>
      <c r="G73" s="262"/>
      <c r="H73" s="262"/>
      <c r="I73" s="264">
        <v>6</v>
      </c>
      <c r="J73" s="265">
        <f t="shared" si="0"/>
        <v>0.4</v>
      </c>
      <c r="K73" s="265">
        <f t="shared" si="6"/>
        <v>0.2</v>
      </c>
    </row>
    <row r="74" spans="1:11" ht="24">
      <c r="A74" s="460"/>
      <c r="B74" s="162" t="s">
        <v>191</v>
      </c>
      <c r="C74" s="267">
        <f>SUM(D74:H74)</f>
        <v>4931.33</v>
      </c>
      <c r="D74" s="262">
        <v>3758.68</v>
      </c>
      <c r="E74" s="262">
        <v>230.9</v>
      </c>
      <c r="F74" s="262">
        <v>941.75</v>
      </c>
      <c r="G74" s="262"/>
      <c r="H74" s="262"/>
      <c r="I74" s="264">
        <v>6</v>
      </c>
      <c r="J74" s="265">
        <f t="shared" si="0"/>
        <v>0.4</v>
      </c>
      <c r="K74" s="265">
        <f t="shared" si="6"/>
        <v>0.2</v>
      </c>
    </row>
    <row r="75" spans="1:11">
      <c r="A75" s="460"/>
      <c r="B75" s="270" t="s">
        <v>488</v>
      </c>
      <c r="C75" s="271">
        <f>SUM(C71:C74)</f>
        <v>22755.17</v>
      </c>
      <c r="D75" s="271">
        <f t="shared" ref="D75:H75" si="25">SUM(D71:D74)</f>
        <v>19198.629999999997</v>
      </c>
      <c r="E75" s="271">
        <f t="shared" si="25"/>
        <v>918.81</v>
      </c>
      <c r="F75" s="271">
        <f t="shared" si="25"/>
        <v>2637.73</v>
      </c>
      <c r="G75" s="271">
        <f t="shared" si="25"/>
        <v>0</v>
      </c>
      <c r="H75" s="271">
        <f t="shared" si="25"/>
        <v>0</v>
      </c>
      <c r="I75" s="272">
        <f>SUM(I71:I74)</f>
        <v>27</v>
      </c>
      <c r="J75" s="272">
        <f t="shared" ref="J75:K75" si="26">SUM(J71:J74)</f>
        <v>1.7999999999999998</v>
      </c>
      <c r="K75" s="272">
        <f t="shared" si="26"/>
        <v>0.89999999999999991</v>
      </c>
    </row>
    <row r="76" spans="1:11">
      <c r="A76" s="460"/>
      <c r="B76" s="458" t="s">
        <v>489</v>
      </c>
      <c r="C76" s="458"/>
      <c r="D76" s="458"/>
      <c r="E76" s="458"/>
      <c r="F76" s="458"/>
      <c r="G76" s="458"/>
      <c r="H76" s="458"/>
      <c r="I76" s="276">
        <f>ROUND(I75,0)</f>
        <v>27</v>
      </c>
      <c r="J76" s="276">
        <v>2</v>
      </c>
      <c r="K76" s="276">
        <v>1</v>
      </c>
    </row>
    <row r="77" spans="1:11" ht="24">
      <c r="A77" s="460" t="s">
        <v>511</v>
      </c>
      <c r="B77" s="162" t="s">
        <v>512</v>
      </c>
      <c r="C77" s="262">
        <f>SUM(D77:H77)</f>
        <v>1679.1299999999999</v>
      </c>
      <c r="D77" s="262">
        <f>299.62+976.39+81.95</f>
        <v>1357.96</v>
      </c>
      <c r="E77" s="262">
        <f>7.33+31.18+7.6</f>
        <v>46.11</v>
      </c>
      <c r="F77" s="262">
        <f>68.88+201.8+4.38</f>
        <v>275.06</v>
      </c>
      <c r="G77" s="262"/>
      <c r="H77" s="262"/>
      <c r="I77" s="264">
        <v>4</v>
      </c>
      <c r="J77" s="265">
        <f>IF(I77="","",ROUND(I77*1/15,2))</f>
        <v>0.27</v>
      </c>
      <c r="K77" s="265">
        <f>IF(I77="","",ROUND(I77*1/30,2))</f>
        <v>0.13</v>
      </c>
    </row>
    <row r="78" spans="1:11" ht="24">
      <c r="A78" s="460"/>
      <c r="B78" s="162" t="s">
        <v>513</v>
      </c>
      <c r="C78" s="302">
        <f>SUM(D78:H78)</f>
        <v>4648.6600000000008</v>
      </c>
      <c r="D78" s="262">
        <v>3448.58</v>
      </c>
      <c r="E78" s="262">
        <v>373.07</v>
      </c>
      <c r="F78" s="262">
        <v>783.95</v>
      </c>
      <c r="G78" s="262">
        <v>43.06</v>
      </c>
      <c r="H78" s="262"/>
      <c r="I78" s="264">
        <v>6</v>
      </c>
      <c r="J78" s="265">
        <f t="shared" si="0"/>
        <v>0.4</v>
      </c>
      <c r="K78" s="265">
        <f t="shared" si="6"/>
        <v>0.2</v>
      </c>
    </row>
    <row r="79" spans="1:11" ht="24">
      <c r="A79" s="460"/>
      <c r="B79" s="162" t="s">
        <v>514</v>
      </c>
      <c r="C79" s="262">
        <f>SUM(D79:H79)</f>
        <v>4243.18</v>
      </c>
      <c r="D79" s="262">
        <v>3248.71</v>
      </c>
      <c r="E79" s="262">
        <v>210.52</v>
      </c>
      <c r="F79" s="262">
        <v>783.95</v>
      </c>
      <c r="G79" s="262"/>
      <c r="H79" s="262"/>
      <c r="I79" s="264">
        <v>6</v>
      </c>
      <c r="J79" s="265">
        <f t="shared" si="0"/>
        <v>0.4</v>
      </c>
      <c r="K79" s="265">
        <f t="shared" si="6"/>
        <v>0.2</v>
      </c>
    </row>
    <row r="80" spans="1:11" ht="24">
      <c r="A80" s="460"/>
      <c r="B80" s="162" t="s">
        <v>515</v>
      </c>
      <c r="C80" s="262">
        <f>SUM(D80:H80)</f>
        <v>625.48</v>
      </c>
      <c r="D80" s="262">
        <v>318.56</v>
      </c>
      <c r="E80" s="262">
        <v>26.04</v>
      </c>
      <c r="F80" s="262">
        <v>280.88</v>
      </c>
      <c r="G80" s="262"/>
      <c r="H80" s="262"/>
      <c r="I80" s="264">
        <v>3</v>
      </c>
      <c r="J80" s="265">
        <f t="shared" si="0"/>
        <v>0.2</v>
      </c>
      <c r="K80" s="265">
        <f t="shared" si="6"/>
        <v>0.1</v>
      </c>
    </row>
    <row r="81" spans="1:11" ht="24">
      <c r="A81" s="460"/>
      <c r="B81" s="277" t="s">
        <v>516</v>
      </c>
      <c r="C81" s="262">
        <f>SUM(D81:H81)</f>
        <v>5604.7</v>
      </c>
      <c r="D81" s="278">
        <v>4524.88</v>
      </c>
      <c r="E81" s="278">
        <v>195.12</v>
      </c>
      <c r="F81" s="278">
        <v>752.2</v>
      </c>
      <c r="G81" s="278">
        <v>132.5</v>
      </c>
      <c r="H81" s="278"/>
      <c r="I81" s="279">
        <v>10</v>
      </c>
      <c r="J81" s="280">
        <f t="shared" si="0"/>
        <v>0.67</v>
      </c>
      <c r="K81" s="280">
        <f t="shared" si="6"/>
        <v>0.33</v>
      </c>
    </row>
    <row r="82" spans="1:11" ht="24">
      <c r="A82" s="460"/>
      <c r="B82" s="162" t="s">
        <v>204</v>
      </c>
      <c r="C82" s="262">
        <f>SUM(D82:H82)</f>
        <v>211.9</v>
      </c>
      <c r="D82" s="262">
        <v>171.33</v>
      </c>
      <c r="E82" s="262">
        <v>8.7200000000000006</v>
      </c>
      <c r="F82" s="262">
        <v>31.85</v>
      </c>
      <c r="G82" s="262"/>
      <c r="H82" s="262"/>
      <c r="I82" s="264">
        <f t="shared" ref="I82" si="27">D82/1000+E82/200+F82/300/30*2+G82/300+H82/2000</f>
        <v>0.22200777777777778</v>
      </c>
      <c r="J82" s="265">
        <f t="shared" si="0"/>
        <v>0.01</v>
      </c>
      <c r="K82" s="265">
        <f t="shared" si="6"/>
        <v>0.01</v>
      </c>
    </row>
    <row r="83" spans="1:11" ht="24">
      <c r="A83" s="460"/>
      <c r="B83" s="162" t="s">
        <v>559</v>
      </c>
      <c r="C83" s="262">
        <f>SUM(D83:H83)</f>
        <v>5071.8799999999992</v>
      </c>
      <c r="D83" s="262">
        <v>4329.46</v>
      </c>
      <c r="E83" s="262">
        <v>256.19</v>
      </c>
      <c r="F83" s="262">
        <v>486.23</v>
      </c>
      <c r="G83" s="262"/>
      <c r="H83" s="262"/>
      <c r="I83" s="264">
        <v>5</v>
      </c>
      <c r="J83" s="265">
        <f t="shared" si="0"/>
        <v>0.33</v>
      </c>
      <c r="K83" s="265">
        <f t="shared" si="6"/>
        <v>0.17</v>
      </c>
    </row>
    <row r="84" spans="1:11" ht="24">
      <c r="A84" s="460"/>
      <c r="B84" s="277" t="s">
        <v>560</v>
      </c>
      <c r="C84" s="262">
        <f>SUM(D84:H84)</f>
        <v>4838.6799999999994</v>
      </c>
      <c r="D84" s="262">
        <v>3972.47</v>
      </c>
      <c r="E84" s="262">
        <v>298.67</v>
      </c>
      <c r="F84" s="262">
        <v>567.54</v>
      </c>
      <c r="G84" s="262"/>
      <c r="H84" s="262"/>
      <c r="I84" s="264">
        <v>5</v>
      </c>
      <c r="J84" s="265">
        <f t="shared" si="0"/>
        <v>0.33</v>
      </c>
      <c r="K84" s="265">
        <f t="shared" si="6"/>
        <v>0.17</v>
      </c>
    </row>
    <row r="85" spans="1:11">
      <c r="A85" s="460"/>
      <c r="B85" s="277" t="s">
        <v>517</v>
      </c>
      <c r="C85" s="262">
        <f>SUM(D85:H85)</f>
        <v>339.2</v>
      </c>
      <c r="D85" s="262">
        <v>339.2</v>
      </c>
      <c r="E85" s="262"/>
      <c r="F85" s="262"/>
      <c r="G85" s="262"/>
      <c r="H85" s="262"/>
      <c r="I85" s="264">
        <v>1</v>
      </c>
      <c r="J85" s="265">
        <f t="shared" si="0"/>
        <v>7.0000000000000007E-2</v>
      </c>
      <c r="K85" s="265">
        <f t="shared" si="6"/>
        <v>0.03</v>
      </c>
    </row>
    <row r="86" spans="1:11">
      <c r="A86" s="460"/>
      <c r="B86" s="162" t="s">
        <v>202</v>
      </c>
      <c r="C86" s="262">
        <f>SUM(D86:H86)</f>
        <v>724.62000000000012</v>
      </c>
      <c r="D86" s="262">
        <v>542.11</v>
      </c>
      <c r="E86" s="262">
        <v>65.2</v>
      </c>
      <c r="F86" s="262">
        <v>117.31</v>
      </c>
      <c r="G86" s="262"/>
      <c r="H86" s="262"/>
      <c r="I86" s="264">
        <v>1</v>
      </c>
      <c r="J86" s="265">
        <f t="shared" si="0"/>
        <v>7.0000000000000007E-2</v>
      </c>
      <c r="K86" s="265">
        <f t="shared" si="6"/>
        <v>0.03</v>
      </c>
    </row>
    <row r="87" spans="1:11">
      <c r="A87" s="460"/>
      <c r="B87" s="270" t="s">
        <v>488</v>
      </c>
      <c r="C87" s="271">
        <f>SUM(C77:C86)</f>
        <v>27987.43</v>
      </c>
      <c r="D87" s="271">
        <f t="shared" ref="D87:K87" si="28">SUM(D77:D86)</f>
        <v>22253.260000000002</v>
      </c>
      <c r="E87" s="271">
        <f t="shared" si="28"/>
        <v>1479.64</v>
      </c>
      <c r="F87" s="271">
        <f t="shared" si="28"/>
        <v>4078.97</v>
      </c>
      <c r="G87" s="271">
        <f t="shared" si="28"/>
        <v>175.56</v>
      </c>
      <c r="H87" s="271">
        <f t="shared" si="28"/>
        <v>0</v>
      </c>
      <c r="I87" s="275">
        <f t="shared" si="28"/>
        <v>41.222007777777776</v>
      </c>
      <c r="J87" s="275">
        <f t="shared" si="28"/>
        <v>2.7499999999999996</v>
      </c>
      <c r="K87" s="275">
        <f t="shared" si="28"/>
        <v>1.3699999999999999</v>
      </c>
    </row>
    <row r="88" spans="1:11">
      <c r="A88" s="460"/>
      <c r="B88" s="458" t="s">
        <v>489</v>
      </c>
      <c r="C88" s="458"/>
      <c r="D88" s="458"/>
      <c r="E88" s="458"/>
      <c r="F88" s="458"/>
      <c r="G88" s="458"/>
      <c r="H88" s="458"/>
      <c r="I88" s="276">
        <v>41</v>
      </c>
      <c r="J88" s="276">
        <v>3</v>
      </c>
      <c r="K88" s="276">
        <v>1</v>
      </c>
    </row>
    <row r="89" spans="1:11" ht="24">
      <c r="A89" s="459" t="s">
        <v>518</v>
      </c>
      <c r="B89" s="162" t="s">
        <v>198</v>
      </c>
      <c r="C89" s="262">
        <f>SUM(D89:H89)</f>
        <v>11845.220000000001</v>
      </c>
      <c r="D89" s="262">
        <v>9054.16</v>
      </c>
      <c r="E89" s="262">
        <v>672</v>
      </c>
      <c r="F89" s="262">
        <v>1639.19</v>
      </c>
      <c r="G89" s="262">
        <v>479.87</v>
      </c>
      <c r="H89" s="262"/>
      <c r="I89" s="264">
        <v>12</v>
      </c>
      <c r="J89" s="265">
        <f t="shared" ref="J89:J108" si="29">IF(I89="","",ROUND(I89*1/15,2))</f>
        <v>0.8</v>
      </c>
      <c r="K89" s="265">
        <f t="shared" ref="K89:K100" si="30">IF(I89="","",ROUND(I89*1/30,2))</f>
        <v>0.4</v>
      </c>
    </row>
    <row r="90" spans="1:11" ht="24">
      <c r="A90" s="459"/>
      <c r="B90" s="162" t="s">
        <v>199</v>
      </c>
      <c r="C90" s="262">
        <f>SUM(D90:H90)</f>
        <v>7266.81</v>
      </c>
      <c r="D90" s="262">
        <v>4857.3500000000004</v>
      </c>
      <c r="E90" s="262">
        <v>196.86</v>
      </c>
      <c r="F90" s="262">
        <v>661.67</v>
      </c>
      <c r="G90" s="262">
        <v>1550.93</v>
      </c>
      <c r="H90" s="262"/>
      <c r="I90" s="264">
        <v>8</v>
      </c>
      <c r="J90" s="265">
        <f t="shared" si="29"/>
        <v>0.53</v>
      </c>
      <c r="K90" s="265">
        <f t="shared" si="30"/>
        <v>0.27</v>
      </c>
    </row>
    <row r="91" spans="1:11" ht="24">
      <c r="A91" s="459"/>
      <c r="B91" s="162" t="s">
        <v>519</v>
      </c>
      <c r="C91" s="262">
        <f>SUM(D91:H91)</f>
        <v>623.26</v>
      </c>
      <c r="D91" s="262">
        <v>497.69</v>
      </c>
      <c r="E91" s="262">
        <v>43.32</v>
      </c>
      <c r="F91" s="262">
        <v>82.25</v>
      </c>
      <c r="G91" s="262"/>
      <c r="H91" s="262"/>
      <c r="I91" s="264">
        <v>1</v>
      </c>
      <c r="J91" s="265">
        <f t="shared" si="29"/>
        <v>7.0000000000000007E-2</v>
      </c>
      <c r="K91" s="265">
        <f t="shared" si="30"/>
        <v>0.03</v>
      </c>
    </row>
    <row r="92" spans="1:11">
      <c r="A92" s="459"/>
      <c r="B92" s="162" t="s">
        <v>520</v>
      </c>
      <c r="C92" s="262">
        <f>SUM(D92:H92)</f>
        <v>13348.289999999999</v>
      </c>
      <c r="D92" s="262">
        <f>5500.21+6844.75</f>
        <v>12344.96</v>
      </c>
      <c r="E92" s="262">
        <f>393.15+236.78</f>
        <v>629.92999999999995</v>
      </c>
      <c r="F92" s="262">
        <f>186.7+186.7</f>
        <v>373.4</v>
      </c>
      <c r="G92" s="262"/>
      <c r="H92" s="262"/>
      <c r="I92" s="264">
        <v>14</v>
      </c>
      <c r="J92" s="265">
        <f t="shared" si="29"/>
        <v>0.93</v>
      </c>
      <c r="K92" s="265">
        <f t="shared" si="30"/>
        <v>0.47</v>
      </c>
    </row>
    <row r="93" spans="1:11">
      <c r="A93" s="459"/>
      <c r="B93" s="270" t="s">
        <v>488</v>
      </c>
      <c r="C93" s="271">
        <f>SUM(C89:C92)</f>
        <v>33083.58</v>
      </c>
      <c r="D93" s="271">
        <f t="shared" ref="D93:H93" si="31">SUM(D89:D92)</f>
        <v>26754.16</v>
      </c>
      <c r="E93" s="271">
        <f t="shared" si="31"/>
        <v>1542.1100000000001</v>
      </c>
      <c r="F93" s="271">
        <f t="shared" si="31"/>
        <v>2756.51</v>
      </c>
      <c r="G93" s="271">
        <f t="shared" si="31"/>
        <v>2030.8000000000002</v>
      </c>
      <c r="H93" s="271">
        <f t="shared" si="31"/>
        <v>0</v>
      </c>
      <c r="I93" s="275">
        <f>SUM(I89:I92)</f>
        <v>35</v>
      </c>
      <c r="J93" s="275">
        <f t="shared" ref="J93:K93" si="32">SUM(J89:J92)</f>
        <v>2.33</v>
      </c>
      <c r="K93" s="275">
        <f t="shared" si="32"/>
        <v>1.17</v>
      </c>
    </row>
    <row r="94" spans="1:11">
      <c r="A94" s="459"/>
      <c r="B94" s="458" t="s">
        <v>489</v>
      </c>
      <c r="C94" s="458"/>
      <c r="D94" s="458"/>
      <c r="E94" s="458"/>
      <c r="F94" s="458"/>
      <c r="G94" s="458"/>
      <c r="H94" s="458"/>
      <c r="I94" s="276">
        <v>35</v>
      </c>
      <c r="J94" s="276">
        <v>2</v>
      </c>
      <c r="K94" s="276">
        <v>1</v>
      </c>
    </row>
    <row r="95" spans="1:11" ht="24">
      <c r="A95" s="459" t="s">
        <v>521</v>
      </c>
      <c r="B95" s="162" t="s">
        <v>238</v>
      </c>
      <c r="C95" s="262">
        <f>SUM(D95:H95)</f>
        <v>4154.93</v>
      </c>
      <c r="D95" s="262">
        <v>3352.09</v>
      </c>
      <c r="E95" s="262">
        <v>249.22</v>
      </c>
      <c r="F95" s="262">
        <v>553.62</v>
      </c>
      <c r="G95" s="262"/>
      <c r="H95" s="262"/>
      <c r="I95" s="264">
        <v>6</v>
      </c>
      <c r="J95" s="265">
        <f t="shared" si="29"/>
        <v>0.4</v>
      </c>
      <c r="K95" s="265">
        <f t="shared" si="30"/>
        <v>0.2</v>
      </c>
    </row>
    <row r="96" spans="1:11">
      <c r="A96" s="459"/>
      <c r="B96" s="162" t="s">
        <v>197</v>
      </c>
      <c r="C96" s="262">
        <f>SUM(D96:H96)</f>
        <v>74.94</v>
      </c>
      <c r="D96" s="262">
        <v>69.39</v>
      </c>
      <c r="E96" s="262">
        <v>4.55</v>
      </c>
      <c r="F96" s="262">
        <v>1</v>
      </c>
      <c r="G96" s="262"/>
      <c r="H96" s="262"/>
      <c r="I96" s="264">
        <f t="shared" ref="I96:I98" si="33">D96/1000+E96/200+F96/300/30*2+G96/300+H96/2000</f>
        <v>9.2362222222222221E-2</v>
      </c>
      <c r="J96" s="265">
        <f t="shared" si="29"/>
        <v>0.01</v>
      </c>
      <c r="K96" s="265">
        <f t="shared" si="30"/>
        <v>0</v>
      </c>
    </row>
    <row r="97" spans="1:11">
      <c r="A97" s="459"/>
      <c r="B97" s="162" t="s">
        <v>522</v>
      </c>
      <c r="C97" s="262">
        <f>SUM(D97:H97)</f>
        <v>52.4</v>
      </c>
      <c r="D97" s="262">
        <v>50</v>
      </c>
      <c r="E97" s="262"/>
      <c r="F97" s="262">
        <v>2.4</v>
      </c>
      <c r="G97" s="262"/>
      <c r="H97" s="262"/>
      <c r="I97" s="264">
        <f t="shared" si="33"/>
        <v>5.0533333333333333E-2</v>
      </c>
      <c r="J97" s="265">
        <f t="shared" si="29"/>
        <v>0</v>
      </c>
      <c r="K97" s="265">
        <f t="shared" si="30"/>
        <v>0</v>
      </c>
    </row>
    <row r="98" spans="1:11">
      <c r="A98" s="459"/>
      <c r="B98" s="162" t="s">
        <v>523</v>
      </c>
      <c r="C98" s="262">
        <f>SUM(D98:H98)</f>
        <v>64.7</v>
      </c>
      <c r="D98" s="262">
        <v>50</v>
      </c>
      <c r="E98" s="262"/>
      <c r="F98" s="262">
        <v>14.7</v>
      </c>
      <c r="G98" s="262"/>
      <c r="H98" s="262"/>
      <c r="I98" s="264">
        <f t="shared" si="33"/>
        <v>5.326666666666667E-2</v>
      </c>
      <c r="J98" s="265">
        <f t="shared" si="29"/>
        <v>0</v>
      </c>
      <c r="K98" s="265">
        <f t="shared" si="30"/>
        <v>0</v>
      </c>
    </row>
    <row r="99" spans="1:11">
      <c r="A99" s="459"/>
      <c r="B99" s="162" t="s">
        <v>524</v>
      </c>
      <c r="C99" s="262">
        <f>SUM(D99:H99)</f>
        <v>23310.61</v>
      </c>
      <c r="D99" s="262">
        <v>50</v>
      </c>
      <c r="E99" s="262"/>
      <c r="F99" s="262">
        <v>5.96</v>
      </c>
      <c r="G99" s="262"/>
      <c r="H99" s="262">
        <v>23254.65</v>
      </c>
      <c r="I99" s="264">
        <v>12</v>
      </c>
      <c r="J99" s="265">
        <f t="shared" si="29"/>
        <v>0.8</v>
      </c>
      <c r="K99" s="265">
        <f t="shared" si="30"/>
        <v>0.4</v>
      </c>
    </row>
    <row r="100" spans="1:11" ht="24">
      <c r="A100" s="459"/>
      <c r="B100" s="162" t="s">
        <v>211</v>
      </c>
      <c r="C100" s="262">
        <f>SUM(D100:H100)</f>
        <v>4674.1900000000005</v>
      </c>
      <c r="D100" s="262">
        <v>2402.5300000000002</v>
      </c>
      <c r="E100" s="262">
        <v>71.88</v>
      </c>
      <c r="F100" s="262">
        <v>117.72</v>
      </c>
      <c r="G100" s="262">
        <v>189.06</v>
      </c>
      <c r="H100" s="262">
        <v>1893</v>
      </c>
      <c r="I100" s="264">
        <v>5</v>
      </c>
      <c r="J100" s="265">
        <f t="shared" si="29"/>
        <v>0.33</v>
      </c>
      <c r="K100" s="265">
        <f t="shared" si="30"/>
        <v>0.17</v>
      </c>
    </row>
    <row r="101" spans="1:11">
      <c r="A101" s="459"/>
      <c r="B101" s="162" t="s">
        <v>226</v>
      </c>
      <c r="C101" s="262">
        <f>SUM(D101:H101)</f>
        <v>5831.8799999999992</v>
      </c>
      <c r="D101" s="262">
        <v>4174.3999999999996</v>
      </c>
      <c r="E101" s="262">
        <v>215.03</v>
      </c>
      <c r="F101" s="262">
        <v>490.45</v>
      </c>
      <c r="G101" s="262"/>
      <c r="H101" s="262">
        <v>952</v>
      </c>
      <c r="I101" s="264">
        <v>5</v>
      </c>
      <c r="J101" s="265">
        <f t="shared" si="29"/>
        <v>0.33</v>
      </c>
      <c r="K101" s="265" t="str">
        <f>IF(I210="","",ROUND(I210*1/30,2))</f>
        <v/>
      </c>
    </row>
    <row r="102" spans="1:11">
      <c r="A102" s="459"/>
      <c r="B102" s="162" t="s">
        <v>228</v>
      </c>
      <c r="C102" s="262">
        <f>SUM(D102:H102)</f>
        <v>4821.8500000000004</v>
      </c>
      <c r="D102" s="262">
        <v>2704</v>
      </c>
      <c r="E102" s="262">
        <v>162.22</v>
      </c>
      <c r="F102" s="262">
        <v>413.63</v>
      </c>
      <c r="G102" s="262"/>
      <c r="H102" s="262">
        <v>1542</v>
      </c>
      <c r="I102" s="264">
        <v>5</v>
      </c>
      <c r="J102" s="265">
        <f t="shared" si="29"/>
        <v>0.33</v>
      </c>
      <c r="K102" s="265" t="str">
        <f>IF(I211="","",ROUND(I211*1/30,2))</f>
        <v/>
      </c>
    </row>
    <row r="103" spans="1:11">
      <c r="A103" s="459"/>
      <c r="B103" s="270" t="s">
        <v>488</v>
      </c>
      <c r="C103" s="271">
        <f>SUM(C95:C102)</f>
        <v>42985.5</v>
      </c>
      <c r="D103" s="271">
        <f t="shared" ref="D103:H103" si="34">SUM(D95:D102)</f>
        <v>12852.41</v>
      </c>
      <c r="E103" s="271">
        <f t="shared" si="34"/>
        <v>702.9</v>
      </c>
      <c r="F103" s="271">
        <f t="shared" si="34"/>
        <v>1599.48</v>
      </c>
      <c r="G103" s="271">
        <f t="shared" si="34"/>
        <v>189.06</v>
      </c>
      <c r="H103" s="271">
        <f t="shared" si="34"/>
        <v>27641.65</v>
      </c>
      <c r="I103" s="275">
        <f>SUM(I95:I102)</f>
        <v>33.19616222222222</v>
      </c>
      <c r="J103" s="275">
        <f t="shared" ref="J103:K103" si="35">SUM(J95:J102)</f>
        <v>2.2000000000000002</v>
      </c>
      <c r="K103" s="275">
        <f t="shared" si="35"/>
        <v>0.77000000000000013</v>
      </c>
    </row>
    <row r="104" spans="1:11">
      <c r="A104" s="459"/>
      <c r="B104" s="458" t="s">
        <v>489</v>
      </c>
      <c r="C104" s="458"/>
      <c r="D104" s="458"/>
      <c r="E104" s="458"/>
      <c r="F104" s="458"/>
      <c r="G104" s="458"/>
      <c r="H104" s="458"/>
      <c r="I104" s="276">
        <v>33</v>
      </c>
      <c r="J104" s="276">
        <v>2</v>
      </c>
      <c r="K104" s="276">
        <v>1</v>
      </c>
    </row>
    <row r="105" spans="1:11">
      <c r="A105" s="460" t="s">
        <v>525</v>
      </c>
      <c r="B105" s="162" t="s">
        <v>219</v>
      </c>
      <c r="C105" s="262">
        <f>SUM(D105:H105)</f>
        <v>3281.31</v>
      </c>
      <c r="D105" s="262">
        <v>2711.72</v>
      </c>
      <c r="E105" s="262">
        <v>97.94</v>
      </c>
      <c r="F105" s="262">
        <v>389.65</v>
      </c>
      <c r="G105" s="262"/>
      <c r="H105" s="262">
        <v>82</v>
      </c>
      <c r="I105" s="264">
        <v>5</v>
      </c>
      <c r="J105" s="265">
        <f>IF(I105="","",ROUND(I105*1/15,2))</f>
        <v>0.33</v>
      </c>
      <c r="K105" s="265">
        <f>IF(I105="","",ROUND(I105*1/30,2))</f>
        <v>0.17</v>
      </c>
    </row>
    <row r="106" spans="1:11">
      <c r="A106" s="460"/>
      <c r="B106" s="162" t="s">
        <v>221</v>
      </c>
      <c r="C106" s="262">
        <f>SUM(D106:H106)</f>
        <v>1145.7800000000002</v>
      </c>
      <c r="D106" s="262">
        <v>935.01</v>
      </c>
      <c r="E106" s="262">
        <v>41.11</v>
      </c>
      <c r="F106" s="262">
        <v>156.74</v>
      </c>
      <c r="G106" s="262">
        <v>12.92</v>
      </c>
      <c r="H106" s="262"/>
      <c r="I106" s="264">
        <v>3</v>
      </c>
      <c r="J106" s="265">
        <f t="shared" si="29"/>
        <v>0.2</v>
      </c>
      <c r="K106" s="265">
        <f t="shared" ref="K106:K108" si="36">IF(I106="","",ROUND(I106*1/30,2))</f>
        <v>0.1</v>
      </c>
    </row>
    <row r="107" spans="1:11" ht="24">
      <c r="A107" s="460"/>
      <c r="B107" s="162" t="s">
        <v>526</v>
      </c>
      <c r="C107" s="262">
        <f>SUM(D107:H107)</f>
        <v>7180.12</v>
      </c>
      <c r="D107" s="262">
        <v>5769.5</v>
      </c>
      <c r="E107" s="262">
        <v>336.71</v>
      </c>
      <c r="F107" s="262">
        <v>895.13</v>
      </c>
      <c r="G107" s="262">
        <v>178.78</v>
      </c>
      <c r="H107" s="262"/>
      <c r="I107" s="264">
        <v>8</v>
      </c>
      <c r="J107" s="265">
        <f t="shared" si="29"/>
        <v>0.53</v>
      </c>
      <c r="K107" s="265">
        <f t="shared" si="36"/>
        <v>0.27</v>
      </c>
    </row>
    <row r="108" spans="1:11" ht="24">
      <c r="A108" s="460"/>
      <c r="B108" s="162" t="s">
        <v>222</v>
      </c>
      <c r="C108" s="262">
        <f>SUM(D108:H108)</f>
        <v>750</v>
      </c>
      <c r="D108" s="262">
        <v>739.3</v>
      </c>
      <c r="E108" s="262">
        <v>10.7</v>
      </c>
      <c r="F108" s="262"/>
      <c r="G108" s="262"/>
      <c r="H108" s="262"/>
      <c r="I108" s="264">
        <v>2</v>
      </c>
      <c r="J108" s="265">
        <f t="shared" si="29"/>
        <v>0.13</v>
      </c>
      <c r="K108" s="265">
        <f t="shared" si="36"/>
        <v>7.0000000000000007E-2</v>
      </c>
    </row>
    <row r="109" spans="1:11">
      <c r="A109" s="460"/>
      <c r="B109" s="162" t="s">
        <v>230</v>
      </c>
      <c r="C109" s="262">
        <f>SUM(D109:H109)</f>
        <v>5202.3999999999996</v>
      </c>
      <c r="D109" s="262">
        <v>3088.34</v>
      </c>
      <c r="E109" s="262">
        <v>130.44</v>
      </c>
      <c r="F109" s="262">
        <v>405.13</v>
      </c>
      <c r="G109" s="262">
        <v>643.34</v>
      </c>
      <c r="H109" s="262">
        <v>935.15</v>
      </c>
      <c r="I109" s="264">
        <v>6</v>
      </c>
      <c r="J109" s="265">
        <f>IF(I109="","",ROUND(I109*1/15,2))</f>
        <v>0.4</v>
      </c>
      <c r="K109" s="265" t="str">
        <f>IF(I233="","",ROUND(I233*1/30,2))</f>
        <v/>
      </c>
    </row>
    <row r="110" spans="1:11">
      <c r="A110" s="460"/>
      <c r="B110" s="162" t="s">
        <v>232</v>
      </c>
      <c r="C110" s="262">
        <f t="shared" ref="C105:C112" si="37">SUM(D110:H110)</f>
        <v>344.86</v>
      </c>
      <c r="D110" s="262">
        <v>182.54</v>
      </c>
      <c r="E110" s="262">
        <v>18.34</v>
      </c>
      <c r="F110" s="262">
        <v>68.98</v>
      </c>
      <c r="G110" s="262">
        <v>75</v>
      </c>
      <c r="H110" s="262"/>
      <c r="I110" s="264">
        <v>1</v>
      </c>
      <c r="J110" s="265">
        <f>IF(I110="","",ROUND(I110*1/15,2))</f>
        <v>7.0000000000000007E-2</v>
      </c>
      <c r="K110" s="265" t="str">
        <f>IF(I234="","",ROUND(I234*1/30,2))</f>
        <v/>
      </c>
    </row>
    <row r="111" spans="1:11">
      <c r="A111" s="460"/>
      <c r="B111" s="162" t="s">
        <v>252</v>
      </c>
      <c r="C111" s="262">
        <f>SUM(D111:H111)</f>
        <v>7238.2000000000007</v>
      </c>
      <c r="D111" s="262">
        <v>3457.17</v>
      </c>
      <c r="E111" s="262">
        <v>374.6</v>
      </c>
      <c r="F111" s="262">
        <v>685.08</v>
      </c>
      <c r="G111" s="262">
        <v>570.35</v>
      </c>
      <c r="H111" s="262">
        <v>2151</v>
      </c>
      <c r="I111" s="264">
        <v>12</v>
      </c>
      <c r="J111" s="265">
        <f t="shared" ref="J111:J112" si="38">IF(I111="","",ROUND(I111*1/15,2))</f>
        <v>0.8</v>
      </c>
      <c r="K111" s="265">
        <f t="shared" ref="K111:K112" si="39">IF(I111="","",ROUND(I111*1/30,2))</f>
        <v>0.4</v>
      </c>
    </row>
    <row r="112" spans="1:11">
      <c r="A112" s="460"/>
      <c r="B112" s="162" t="s">
        <v>254</v>
      </c>
      <c r="C112" s="262">
        <f>SUM(D112:H112)</f>
        <v>1294.48</v>
      </c>
      <c r="D112" s="262">
        <v>717.84</v>
      </c>
      <c r="E112" s="262">
        <v>45.04</v>
      </c>
      <c r="F112" s="262">
        <v>126.3</v>
      </c>
      <c r="G112" s="262">
        <v>405.3</v>
      </c>
      <c r="H112" s="262"/>
      <c r="I112" s="264">
        <v>3</v>
      </c>
      <c r="J112" s="265">
        <f t="shared" si="38"/>
        <v>0.2</v>
      </c>
      <c r="K112" s="265">
        <f t="shared" si="39"/>
        <v>0.1</v>
      </c>
    </row>
    <row r="113" spans="1:11">
      <c r="A113" s="460"/>
      <c r="B113" s="270" t="s">
        <v>488</v>
      </c>
      <c r="C113" s="271">
        <f>SUM(C105:C112)</f>
        <v>26437.15</v>
      </c>
      <c r="D113" s="271">
        <f t="shared" ref="D113:H113" si="40">SUM(D105:D112)</f>
        <v>17601.420000000002</v>
      </c>
      <c r="E113" s="271">
        <f t="shared" si="40"/>
        <v>1054.8800000000001</v>
      </c>
      <c r="F113" s="271">
        <f t="shared" si="40"/>
        <v>2727.01</v>
      </c>
      <c r="G113" s="271">
        <f t="shared" si="40"/>
        <v>1885.6899999999998</v>
      </c>
      <c r="H113" s="271">
        <f t="shared" si="40"/>
        <v>3168.15</v>
      </c>
      <c r="I113" s="275">
        <f>SUM(I105:I112)</f>
        <v>40</v>
      </c>
      <c r="J113" s="275">
        <f t="shared" ref="J113:K113" si="41">SUM(J105:J112)</f>
        <v>2.66</v>
      </c>
      <c r="K113" s="275">
        <f t="shared" si="41"/>
        <v>1.1100000000000003</v>
      </c>
    </row>
    <row r="114" spans="1:11">
      <c r="A114" s="460"/>
      <c r="B114" s="458" t="s">
        <v>489</v>
      </c>
      <c r="C114" s="458"/>
      <c r="D114" s="458"/>
      <c r="E114" s="458"/>
      <c r="F114" s="458"/>
      <c r="G114" s="458"/>
      <c r="H114" s="458"/>
      <c r="I114" s="276">
        <v>40</v>
      </c>
      <c r="J114" s="276">
        <v>3</v>
      </c>
      <c r="K114" s="276">
        <v>1</v>
      </c>
    </row>
    <row r="115" spans="1:11" ht="24">
      <c r="A115" s="459" t="s">
        <v>527</v>
      </c>
      <c r="B115" s="162" t="s">
        <v>257</v>
      </c>
      <c r="C115" s="262">
        <f>SUM(D115:H115)</f>
        <v>1424.7800000000002</v>
      </c>
      <c r="D115" s="262">
        <v>378.97</v>
      </c>
      <c r="E115" s="262">
        <v>22.22</v>
      </c>
      <c r="F115" s="262">
        <v>35.590000000000003</v>
      </c>
      <c r="G115" s="262">
        <v>0</v>
      </c>
      <c r="H115" s="262">
        <v>988</v>
      </c>
      <c r="I115" s="264">
        <v>4</v>
      </c>
      <c r="J115" s="265">
        <f t="shared" ref="J115:K138" si="42">IF(I115="","",ROUND(I115*1/15,2))</f>
        <v>0.27</v>
      </c>
      <c r="K115" s="265">
        <f t="shared" ref="K115:K136" si="43">IF(I115="","",ROUND(I115*1/30,2))</f>
        <v>0.13</v>
      </c>
    </row>
    <row r="116" spans="1:11" ht="24">
      <c r="A116" s="459"/>
      <c r="B116" s="277" t="s">
        <v>528</v>
      </c>
      <c r="C116" s="262">
        <f>SUM(D116:H116)</f>
        <v>2992.37</v>
      </c>
      <c r="D116" s="278">
        <v>1629.77</v>
      </c>
      <c r="E116" s="278">
        <v>9.65</v>
      </c>
      <c r="F116" s="278">
        <v>18.45</v>
      </c>
      <c r="G116" s="278">
        <v>14.5</v>
      </c>
      <c r="H116" s="278">
        <v>1320</v>
      </c>
      <c r="I116" s="279">
        <v>1</v>
      </c>
      <c r="J116" s="280">
        <f>IF(I116="","",ROUND(I116*1/15,2))</f>
        <v>7.0000000000000007E-2</v>
      </c>
      <c r="K116" s="280">
        <f>IF(I116="","",ROUND(I116*1/30,2))</f>
        <v>0.03</v>
      </c>
    </row>
    <row r="117" spans="1:11" ht="24">
      <c r="A117" s="459"/>
      <c r="B117" s="277" t="s">
        <v>239</v>
      </c>
      <c r="C117" s="262">
        <f>SUM(D117:H117)</f>
        <v>5498.31</v>
      </c>
      <c r="D117" s="278">
        <v>2872.45</v>
      </c>
      <c r="E117" s="278">
        <v>194.98</v>
      </c>
      <c r="F117" s="278">
        <v>829.2</v>
      </c>
      <c r="G117" s="278">
        <v>281.68</v>
      </c>
      <c r="H117" s="278">
        <v>1320</v>
      </c>
      <c r="I117" s="279">
        <v>5</v>
      </c>
      <c r="J117" s="280">
        <f>IF(I117="","",ROUND(I117*1/15,2))</f>
        <v>0.33</v>
      </c>
      <c r="K117" s="280">
        <f>IF(I117="","",ROUND(I117*1/30,2))</f>
        <v>0.17</v>
      </c>
    </row>
    <row r="118" spans="1:11" ht="36">
      <c r="A118" s="459"/>
      <c r="B118" s="277" t="s">
        <v>241</v>
      </c>
      <c r="C118" s="262">
        <f>SUM(D118:H118)</f>
        <v>7293.01</v>
      </c>
      <c r="D118" s="278">
        <v>3263.15</v>
      </c>
      <c r="E118" s="278">
        <v>247.55</v>
      </c>
      <c r="F118" s="278">
        <v>707.5</v>
      </c>
      <c r="G118" s="278">
        <v>1574.81</v>
      </c>
      <c r="H118" s="278">
        <v>1500</v>
      </c>
      <c r="I118" s="279">
        <v>8</v>
      </c>
      <c r="J118" s="280">
        <f>IF(I118="","",ROUND(I118*1/15,2))</f>
        <v>0.53</v>
      </c>
      <c r="K118" s="280">
        <f>IF(I118="","",ROUND(I118*1/30,2))</f>
        <v>0.27</v>
      </c>
    </row>
    <row r="119" spans="1:11" ht="24">
      <c r="A119" s="459"/>
      <c r="B119" s="277" t="s">
        <v>529</v>
      </c>
      <c r="C119" s="262">
        <f>SUM(D119:H119)</f>
        <v>6273.8600000000006</v>
      </c>
      <c r="D119" s="278">
        <v>4457.17</v>
      </c>
      <c r="E119" s="278">
        <v>184.59</v>
      </c>
      <c r="F119" s="278">
        <v>312.10000000000002</v>
      </c>
      <c r="G119" s="278">
        <v>0</v>
      </c>
      <c r="H119" s="278">
        <v>1320</v>
      </c>
      <c r="I119" s="279">
        <v>6</v>
      </c>
      <c r="J119" s="280">
        <f>IF(I119="","",ROUND(I119*1/15,2))</f>
        <v>0.4</v>
      </c>
      <c r="K119" s="280">
        <f>IF(I119="","",ROUND(I119*1/30,2))</f>
        <v>0.2</v>
      </c>
    </row>
    <row r="120" spans="1:11">
      <c r="A120" s="459"/>
      <c r="B120" s="270" t="s">
        <v>488</v>
      </c>
      <c r="C120" s="271">
        <f>SUM(C115:C119)</f>
        <v>23482.33</v>
      </c>
      <c r="D120" s="271">
        <f t="shared" ref="D120:H120" si="44">SUM(D115:D119)</f>
        <v>12601.51</v>
      </c>
      <c r="E120" s="271">
        <f t="shared" si="44"/>
        <v>658.99</v>
      </c>
      <c r="F120" s="271">
        <f t="shared" si="44"/>
        <v>1902.8400000000001</v>
      </c>
      <c r="G120" s="271">
        <f t="shared" si="44"/>
        <v>1870.99</v>
      </c>
      <c r="H120" s="271">
        <f t="shared" si="44"/>
        <v>6448</v>
      </c>
      <c r="I120" s="275">
        <f>SUM(I115:I119)</f>
        <v>24</v>
      </c>
      <c r="J120" s="275">
        <f t="shared" ref="J120:K120" si="45">SUM(J115:J119)</f>
        <v>1.6</v>
      </c>
      <c r="K120" s="275">
        <f t="shared" si="45"/>
        <v>0.8</v>
      </c>
    </row>
    <row r="121" spans="1:11">
      <c r="A121" s="459"/>
      <c r="B121" s="458" t="s">
        <v>489</v>
      </c>
      <c r="C121" s="458"/>
      <c r="D121" s="458"/>
      <c r="E121" s="458"/>
      <c r="F121" s="458"/>
      <c r="G121" s="458"/>
      <c r="H121" s="458"/>
      <c r="I121" s="276">
        <v>24</v>
      </c>
      <c r="J121" s="276">
        <v>2</v>
      </c>
      <c r="K121" s="276">
        <v>1</v>
      </c>
    </row>
    <row r="122" spans="1:11" ht="24">
      <c r="A122" s="459"/>
      <c r="B122" s="162" t="s">
        <v>245</v>
      </c>
      <c r="C122" s="262">
        <f>SUM(D122:H122)</f>
        <v>2684.4900000000002</v>
      </c>
      <c r="D122" s="262">
        <v>2378.5</v>
      </c>
      <c r="E122" s="262">
        <v>99.63</v>
      </c>
      <c r="F122" s="262">
        <v>206.36</v>
      </c>
      <c r="G122" s="262"/>
      <c r="H122" s="262"/>
      <c r="I122" s="264">
        <v>4</v>
      </c>
      <c r="J122" s="265">
        <f t="shared" si="42"/>
        <v>0.27</v>
      </c>
      <c r="K122" s="265">
        <f t="shared" si="43"/>
        <v>0.13</v>
      </c>
    </row>
    <row r="123" spans="1:11" ht="24">
      <c r="A123" s="459"/>
      <c r="B123" s="162" t="s">
        <v>246</v>
      </c>
      <c r="C123" s="262">
        <f>SUM(D123:H123)</f>
        <v>2353.6799999999998</v>
      </c>
      <c r="D123" s="262">
        <v>1967.78</v>
      </c>
      <c r="E123" s="262">
        <v>127</v>
      </c>
      <c r="F123" s="262">
        <v>258.89999999999998</v>
      </c>
      <c r="G123" s="262">
        <v>0</v>
      </c>
      <c r="H123" s="262">
        <v>0</v>
      </c>
      <c r="I123" s="264">
        <v>3</v>
      </c>
      <c r="J123" s="265">
        <f t="shared" si="42"/>
        <v>0.2</v>
      </c>
      <c r="K123" s="265">
        <f t="shared" si="43"/>
        <v>0.1</v>
      </c>
    </row>
    <row r="124" spans="1:11" ht="24">
      <c r="A124" s="459"/>
      <c r="B124" s="277" t="s">
        <v>530</v>
      </c>
      <c r="C124" s="262">
        <f>SUM(D124:H124)</f>
        <v>1407.8600000000001</v>
      </c>
      <c r="D124" s="278">
        <v>1059.33</v>
      </c>
      <c r="E124" s="278">
        <v>75.88</v>
      </c>
      <c r="F124" s="278">
        <v>272.64999999999998</v>
      </c>
      <c r="G124" s="278"/>
      <c r="H124" s="278"/>
      <c r="I124" s="279">
        <v>3</v>
      </c>
      <c r="J124" s="280">
        <f t="shared" si="42"/>
        <v>0.2</v>
      </c>
      <c r="K124" s="280">
        <f t="shared" si="43"/>
        <v>0.1</v>
      </c>
    </row>
    <row r="125" spans="1:11" ht="24">
      <c r="A125" s="459"/>
      <c r="B125" s="277" t="s">
        <v>209</v>
      </c>
      <c r="C125" s="262">
        <f>SUM(D125:H125)</f>
        <v>729.83999999999992</v>
      </c>
      <c r="D125" s="278">
        <v>516.15</v>
      </c>
      <c r="E125" s="278">
        <v>145.29</v>
      </c>
      <c r="F125" s="278">
        <v>68.400000000000006</v>
      </c>
      <c r="G125" s="278"/>
      <c r="H125" s="278"/>
      <c r="I125" s="279">
        <f t="shared" ref="I125" si="46">D125/1000+E125/200+F125/300/30*2+G125/300+H125/2000</f>
        <v>1.2578</v>
      </c>
      <c r="J125" s="280">
        <f t="shared" si="42"/>
        <v>0.08</v>
      </c>
      <c r="K125" s="280">
        <f t="shared" si="43"/>
        <v>0.04</v>
      </c>
    </row>
    <row r="126" spans="1:11" ht="24">
      <c r="A126" s="459"/>
      <c r="B126" s="277" t="s">
        <v>247</v>
      </c>
      <c r="C126" s="262">
        <f>SUM(D126:H126)</f>
        <v>655.68000000000006</v>
      </c>
      <c r="D126" s="278">
        <v>439.86</v>
      </c>
      <c r="E126" s="278">
        <v>60.76</v>
      </c>
      <c r="F126" s="278">
        <v>155.06</v>
      </c>
      <c r="G126" s="278"/>
      <c r="H126" s="278"/>
      <c r="I126" s="279">
        <v>1</v>
      </c>
      <c r="J126" s="280">
        <f t="shared" si="42"/>
        <v>7.0000000000000007E-2</v>
      </c>
      <c r="K126" s="280">
        <f t="shared" si="43"/>
        <v>0.03</v>
      </c>
    </row>
    <row r="127" spans="1:11">
      <c r="A127" s="459"/>
      <c r="B127" s="277" t="s">
        <v>531</v>
      </c>
      <c r="C127" s="262">
        <f>SUM(D127:H127)</f>
        <v>2880</v>
      </c>
      <c r="D127" s="278">
        <v>0</v>
      </c>
      <c r="E127" s="278"/>
      <c r="F127" s="278"/>
      <c r="G127" s="278"/>
      <c r="H127" s="278">
        <v>2880</v>
      </c>
      <c r="I127" s="279">
        <v>1</v>
      </c>
      <c r="J127" s="280">
        <f t="shared" si="42"/>
        <v>7.0000000000000007E-2</v>
      </c>
      <c r="K127" s="280">
        <f t="shared" si="43"/>
        <v>0.03</v>
      </c>
    </row>
    <row r="128" spans="1:11" ht="24">
      <c r="A128" s="459"/>
      <c r="B128" s="277" t="s">
        <v>250</v>
      </c>
      <c r="C128" s="262">
        <f>SUM(D128:H128)</f>
        <v>10493.48</v>
      </c>
      <c r="D128" s="278">
        <v>3951.25</v>
      </c>
      <c r="E128" s="278">
        <v>58.25</v>
      </c>
      <c r="F128" s="278">
        <v>316.05</v>
      </c>
      <c r="G128" s="278"/>
      <c r="H128" s="278">
        <v>6167.93</v>
      </c>
      <c r="I128" s="279">
        <v>10</v>
      </c>
      <c r="J128" s="280">
        <f t="shared" si="42"/>
        <v>0.67</v>
      </c>
      <c r="K128" s="280">
        <f t="shared" si="43"/>
        <v>0.33</v>
      </c>
    </row>
    <row r="129" spans="1:11" ht="24">
      <c r="A129" s="459"/>
      <c r="B129" s="277" t="s">
        <v>532</v>
      </c>
      <c r="C129" s="262">
        <f>SUM(D129:H129)</f>
        <v>14090.400000000001</v>
      </c>
      <c r="D129" s="278">
        <v>11525.54</v>
      </c>
      <c r="E129" s="278">
        <v>500.35</v>
      </c>
      <c r="F129" s="278">
        <v>1936.92</v>
      </c>
      <c r="G129" s="278">
        <v>127.59</v>
      </c>
      <c r="H129" s="278"/>
      <c r="I129" s="279">
        <v>19</v>
      </c>
      <c r="J129" s="280">
        <f t="shared" si="42"/>
        <v>1.27</v>
      </c>
      <c r="K129" s="280">
        <f t="shared" si="43"/>
        <v>0.63</v>
      </c>
    </row>
    <row r="130" spans="1:11" ht="24">
      <c r="A130" s="459"/>
      <c r="B130" s="162" t="s">
        <v>533</v>
      </c>
      <c r="C130" s="262">
        <f>SUM(D130:H130)</f>
        <v>7077.6900000000005</v>
      </c>
      <c r="D130" s="262">
        <v>2120.17</v>
      </c>
      <c r="E130" s="262">
        <v>102.26</v>
      </c>
      <c r="F130" s="262">
        <v>328.08</v>
      </c>
      <c r="G130" s="262">
        <v>36.75</v>
      </c>
      <c r="H130" s="169">
        <v>4490.43</v>
      </c>
      <c r="I130" s="264">
        <v>8</v>
      </c>
      <c r="J130" s="265">
        <f t="shared" si="42"/>
        <v>0.53</v>
      </c>
      <c r="K130" s="265">
        <f t="shared" si="43"/>
        <v>0.27</v>
      </c>
    </row>
    <row r="131" spans="1:11">
      <c r="A131" s="459"/>
      <c r="B131" s="270" t="s">
        <v>488</v>
      </c>
      <c r="C131" s="271">
        <f>SUM(C122:C130)</f>
        <v>42373.120000000003</v>
      </c>
      <c r="D131" s="271">
        <f t="shared" ref="D131:H131" si="47">SUM(D122:D130)</f>
        <v>23958.58</v>
      </c>
      <c r="E131" s="271">
        <f t="shared" si="47"/>
        <v>1169.4199999999998</v>
      </c>
      <c r="F131" s="271">
        <f t="shared" si="47"/>
        <v>3542.42</v>
      </c>
      <c r="G131" s="271">
        <f t="shared" si="47"/>
        <v>164.34</v>
      </c>
      <c r="H131" s="271">
        <f t="shared" si="47"/>
        <v>13538.36</v>
      </c>
      <c r="I131" s="275">
        <f>SUM(I122:I130)</f>
        <v>50.257800000000003</v>
      </c>
      <c r="J131" s="275">
        <f>SUM(J122:J130)</f>
        <v>3.3600000000000003</v>
      </c>
      <c r="K131" s="275">
        <f>SUM(K122:K130)</f>
        <v>1.6600000000000001</v>
      </c>
    </row>
    <row r="132" spans="1:11">
      <c r="A132" s="459"/>
      <c r="B132" s="458" t="s">
        <v>489</v>
      </c>
      <c r="C132" s="458"/>
      <c r="D132" s="458"/>
      <c r="E132" s="458"/>
      <c r="F132" s="458"/>
      <c r="G132" s="458"/>
      <c r="H132" s="458"/>
      <c r="I132" s="276">
        <v>50</v>
      </c>
      <c r="J132" s="276">
        <v>3</v>
      </c>
      <c r="K132" s="276">
        <v>1</v>
      </c>
    </row>
    <row r="133" spans="1:11" ht="24">
      <c r="A133" s="459" t="s">
        <v>534</v>
      </c>
      <c r="B133" s="162" t="s">
        <v>264</v>
      </c>
      <c r="C133" s="456">
        <f>SUM(D133:H134)</f>
        <v>2959.94</v>
      </c>
      <c r="D133" s="456">
        <f>1100+162.15</f>
        <v>1262.1500000000001</v>
      </c>
      <c r="E133" s="456">
        <f>60.86+42.1</f>
        <v>102.96000000000001</v>
      </c>
      <c r="F133" s="456">
        <f>163.35+63.48</f>
        <v>226.82999999999998</v>
      </c>
      <c r="G133" s="456"/>
      <c r="H133" s="456">
        <v>1368</v>
      </c>
      <c r="I133" s="455">
        <v>6</v>
      </c>
      <c r="J133" s="455">
        <f>IF(I133="","",ROUND(I133*1/15,2))</f>
        <v>0.4</v>
      </c>
      <c r="K133" s="455">
        <f>IF(I133="","",ROUND(I133*1/30,2))</f>
        <v>0.2</v>
      </c>
    </row>
    <row r="134" spans="1:11">
      <c r="A134" s="459"/>
      <c r="B134" s="162" t="s">
        <v>266</v>
      </c>
      <c r="C134" s="456"/>
      <c r="D134" s="456"/>
      <c r="E134" s="456"/>
      <c r="F134" s="456"/>
      <c r="G134" s="456"/>
      <c r="H134" s="456"/>
      <c r="I134" s="455">
        <f t="shared" ref="I134" si="48">D134/1000+E134/200+F134/300/30*2+G134/300+H134/2000</f>
        <v>0</v>
      </c>
      <c r="J134" s="455">
        <f>IF(I134="","",ROUND(I134*1/15,2))</f>
        <v>0</v>
      </c>
      <c r="K134" s="455">
        <f>IF(J134="","",ROUND(J134*1/15,2))</f>
        <v>0</v>
      </c>
    </row>
    <row r="135" spans="1:11" ht="36">
      <c r="A135" s="459"/>
      <c r="B135" s="162" t="s">
        <v>259</v>
      </c>
      <c r="C135" s="262">
        <f>SUM(D135:H135)</f>
        <v>9211.08</v>
      </c>
      <c r="D135" s="262">
        <v>5473.63</v>
      </c>
      <c r="E135" s="262">
        <v>361.78</v>
      </c>
      <c r="F135" s="262">
        <v>872.64</v>
      </c>
      <c r="G135" s="262">
        <v>1450.03</v>
      </c>
      <c r="H135" s="262">
        <v>1053</v>
      </c>
      <c r="I135" s="264">
        <v>18</v>
      </c>
      <c r="J135" s="265">
        <f>IF(I135="","",ROUND(I135*1/15,2))</f>
        <v>1.2</v>
      </c>
      <c r="K135" s="265">
        <f>IF(I135="","",ROUND(I135*1/30,2))</f>
        <v>0.6</v>
      </c>
    </row>
    <row r="136" spans="1:11" ht="24">
      <c r="A136" s="459"/>
      <c r="B136" s="162" t="s">
        <v>261</v>
      </c>
      <c r="C136" s="456">
        <f>SUM(D136:H138)</f>
        <v>13305.19</v>
      </c>
      <c r="D136" s="456">
        <f>7406.06</f>
        <v>7406.06</v>
      </c>
      <c r="E136" s="456">
        <v>823.46</v>
      </c>
      <c r="F136" s="456">
        <v>403.2</v>
      </c>
      <c r="G136" s="456">
        <v>778.47</v>
      </c>
      <c r="H136" s="456">
        <v>3894</v>
      </c>
      <c r="I136" s="455">
        <v>24</v>
      </c>
      <c r="J136" s="455">
        <f t="shared" si="42"/>
        <v>1.6</v>
      </c>
      <c r="K136" s="455">
        <f t="shared" si="43"/>
        <v>0.8</v>
      </c>
    </row>
    <row r="137" spans="1:11">
      <c r="A137" s="459"/>
      <c r="B137" s="162" t="s">
        <v>535</v>
      </c>
      <c r="C137" s="456"/>
      <c r="D137" s="456"/>
      <c r="E137" s="456"/>
      <c r="F137" s="456"/>
      <c r="G137" s="456"/>
      <c r="H137" s="456"/>
      <c r="I137" s="455"/>
      <c r="J137" s="455"/>
      <c r="K137" s="455"/>
    </row>
    <row r="138" spans="1:11" ht="24">
      <c r="A138" s="459"/>
      <c r="B138" s="162" t="s">
        <v>263</v>
      </c>
      <c r="C138" s="456"/>
      <c r="D138" s="456"/>
      <c r="E138" s="456"/>
      <c r="F138" s="456"/>
      <c r="G138" s="456"/>
      <c r="H138" s="456"/>
      <c r="I138" s="455">
        <f t="shared" ref="I138" si="49">D138/1000+E138/200+F138/300/30*2+G138/300+H138/2000</f>
        <v>0</v>
      </c>
      <c r="J138" s="455">
        <f t="shared" si="42"/>
        <v>0</v>
      </c>
      <c r="K138" s="455">
        <f t="shared" si="42"/>
        <v>0</v>
      </c>
    </row>
    <row r="139" spans="1:11">
      <c r="A139" s="459"/>
      <c r="B139" s="270" t="s">
        <v>488</v>
      </c>
      <c r="C139" s="271">
        <f>SUM(C133:C138)</f>
        <v>25476.21</v>
      </c>
      <c r="D139" s="271">
        <f t="shared" ref="D139:H139" si="50">SUM(D133:D138)</f>
        <v>14141.84</v>
      </c>
      <c r="E139" s="271">
        <f t="shared" si="50"/>
        <v>1288.2</v>
      </c>
      <c r="F139" s="271">
        <f t="shared" si="50"/>
        <v>1502.67</v>
      </c>
      <c r="G139" s="271">
        <f t="shared" si="50"/>
        <v>2228.5</v>
      </c>
      <c r="H139" s="271">
        <f t="shared" si="50"/>
        <v>6315</v>
      </c>
      <c r="I139" s="275">
        <f>SUM(I133:I138)</f>
        <v>48</v>
      </c>
      <c r="J139" s="275">
        <f t="shared" ref="J139:K139" si="51">SUM(J133:J138)</f>
        <v>3.2</v>
      </c>
      <c r="K139" s="275">
        <f t="shared" si="51"/>
        <v>1.6</v>
      </c>
    </row>
    <row r="140" spans="1:11">
      <c r="A140" s="459"/>
      <c r="B140" s="458" t="s">
        <v>489</v>
      </c>
      <c r="C140" s="458"/>
      <c r="D140" s="458"/>
      <c r="E140" s="458"/>
      <c r="F140" s="458"/>
      <c r="G140" s="458"/>
      <c r="H140" s="458"/>
      <c r="I140" s="276">
        <v>48</v>
      </c>
      <c r="J140" s="276">
        <v>3</v>
      </c>
      <c r="K140" s="276">
        <v>2</v>
      </c>
    </row>
    <row r="141" spans="1:11">
      <c r="A141" s="281" t="s">
        <v>536</v>
      </c>
      <c r="B141" s="282"/>
      <c r="C141" s="283">
        <f>C139+C131+C120+C113+C103+C93+C87+C75+C69+C64+C56+C46+C39+C33+C24</f>
        <v>448155.38999999996</v>
      </c>
      <c r="D141" s="283">
        <f t="shared" ref="D141:H141" si="52">D139+D131+D120+D113+D103+D93+D87+D75+D69+D64+D56+D46+D39+D33+D24</f>
        <v>246555.74999999997</v>
      </c>
      <c r="E141" s="283">
        <f t="shared" si="52"/>
        <v>14734.84</v>
      </c>
      <c r="F141" s="283">
        <f t="shared" si="52"/>
        <v>39362.300000000003</v>
      </c>
      <c r="G141" s="283">
        <f t="shared" si="52"/>
        <v>19813.080000000002</v>
      </c>
      <c r="H141" s="283">
        <f t="shared" si="52"/>
        <v>120178.60999999999</v>
      </c>
      <c r="I141" s="284">
        <f>I140+I132+I121+I114+I104+I94+I88+I76+I70+I65+I57+I47+I40+I34+I25-J141</f>
        <v>507</v>
      </c>
      <c r="J141" s="284">
        <f>J140+J132+J121+J114+J104+J94+J88+J76+J70+J65+J57+J47+J40+J34+J25</f>
        <v>35</v>
      </c>
      <c r="K141" s="284">
        <f>K140+K132+K121+K114+K104+K94+K88+K76+K70+K65+K57+K47+K40+K34+K25</f>
        <v>16</v>
      </c>
    </row>
    <row r="142" spans="1:11">
      <c r="A142" s="281"/>
      <c r="B142" s="282"/>
      <c r="C142" s="283"/>
      <c r="D142" s="283"/>
      <c r="E142" s="283"/>
      <c r="F142" s="283"/>
      <c r="G142" s="283"/>
      <c r="H142" s="283"/>
      <c r="I142" s="284"/>
      <c r="J142" s="284"/>
      <c r="K142" s="284"/>
    </row>
    <row r="143" spans="1:11">
      <c r="A143" s="281"/>
      <c r="B143" s="281"/>
      <c r="C143" s="281" t="s">
        <v>537</v>
      </c>
      <c r="D143" s="281"/>
      <c r="E143" s="281"/>
      <c r="F143" s="285"/>
      <c r="G143" s="285"/>
      <c r="H143" s="285"/>
      <c r="I143" s="286"/>
      <c r="J143" s="286"/>
      <c r="K143" s="286"/>
    </row>
    <row r="144" spans="1:11">
      <c r="A144" s="287" t="s">
        <v>538</v>
      </c>
      <c r="B144" s="287"/>
      <c r="C144" s="281">
        <v>1000</v>
      </c>
      <c r="D144" s="288"/>
      <c r="E144" s="281"/>
      <c r="F144" s="285"/>
      <c r="G144" s="285"/>
      <c r="H144" s="285"/>
      <c r="I144" s="286"/>
      <c r="J144" s="286"/>
      <c r="K144" s="286"/>
    </row>
    <row r="145" spans="1:11">
      <c r="A145" s="287" t="s">
        <v>539</v>
      </c>
      <c r="B145" s="287"/>
      <c r="C145" s="281">
        <v>200</v>
      </c>
      <c r="D145" s="288"/>
      <c r="E145" s="281"/>
      <c r="F145" s="285"/>
      <c r="G145" s="285"/>
      <c r="H145" s="285"/>
      <c r="I145" s="286"/>
      <c r="J145" s="286"/>
      <c r="K145" s="286"/>
    </row>
    <row r="146" spans="1:11">
      <c r="A146" s="287" t="s">
        <v>540</v>
      </c>
      <c r="B146" s="287"/>
      <c r="C146" s="281">
        <v>300</v>
      </c>
      <c r="D146" s="288"/>
      <c r="E146" s="281"/>
      <c r="F146" s="285"/>
      <c r="G146" s="285"/>
      <c r="H146" s="285"/>
      <c r="I146" s="286"/>
      <c r="J146" s="286"/>
      <c r="K146" s="286"/>
    </row>
    <row r="147" spans="1:11">
      <c r="A147" s="287" t="s">
        <v>541</v>
      </c>
      <c r="B147" s="287"/>
      <c r="C147" s="281">
        <v>2000</v>
      </c>
      <c r="D147" s="288"/>
      <c r="E147" s="281"/>
      <c r="F147" s="285"/>
      <c r="G147" s="285"/>
      <c r="H147" s="285"/>
      <c r="I147" s="286"/>
      <c r="J147" s="286"/>
      <c r="K147" s="286"/>
    </row>
    <row r="148" spans="1:11">
      <c r="A148" s="287" t="s">
        <v>542</v>
      </c>
      <c r="B148" s="287"/>
      <c r="C148" s="281">
        <v>300</v>
      </c>
      <c r="D148" s="288"/>
      <c r="E148" s="281"/>
      <c r="F148" s="285"/>
      <c r="G148" s="285"/>
      <c r="H148" s="285"/>
      <c r="I148" s="286"/>
      <c r="J148" s="286"/>
      <c r="K148" s="286"/>
    </row>
    <row r="149" spans="1:11">
      <c r="A149" s="289" t="s">
        <v>543</v>
      </c>
      <c r="B149" s="290"/>
      <c r="C149" s="290"/>
      <c r="D149" s="288"/>
      <c r="E149" s="290"/>
      <c r="F149" s="291"/>
      <c r="G149" s="291"/>
      <c r="H149" s="291"/>
      <c r="I149" s="292"/>
      <c r="J149" s="292"/>
      <c r="K149" s="292"/>
    </row>
    <row r="150" spans="1:11">
      <c r="A150" s="293"/>
      <c r="B150" s="287"/>
      <c r="C150" s="287"/>
      <c r="D150" s="287"/>
      <c r="E150" s="287"/>
      <c r="F150" s="287"/>
      <c r="G150" s="287"/>
      <c r="H150" s="287"/>
      <c r="I150" s="286"/>
      <c r="J150" s="286"/>
      <c r="K150" s="286"/>
    </row>
    <row r="151" spans="1:11">
      <c r="A151" s="287"/>
      <c r="B151" s="287"/>
      <c r="C151" s="287"/>
      <c r="D151" s="287"/>
      <c r="E151" s="287"/>
      <c r="F151" s="287"/>
      <c r="G151" s="287"/>
      <c r="H151" s="287"/>
      <c r="I151" s="286"/>
      <c r="J151" s="286"/>
      <c r="K151" s="286"/>
    </row>
    <row r="152" spans="1:11">
      <c r="A152" s="294" t="s">
        <v>544</v>
      </c>
      <c r="B152" s="295"/>
      <c r="C152" s="295"/>
      <c r="D152" s="295"/>
      <c r="E152" s="295"/>
      <c r="F152" s="295"/>
      <c r="G152" s="295"/>
      <c r="H152" s="295"/>
      <c r="I152" s="296"/>
      <c r="J152" s="296"/>
      <c r="K152" s="296"/>
    </row>
    <row r="153" spans="1:11">
      <c r="A153" s="454" t="s">
        <v>545</v>
      </c>
      <c r="B153" s="454"/>
      <c r="C153" s="454"/>
      <c r="D153" s="454"/>
      <c r="E153" s="454"/>
      <c r="F153" s="454"/>
      <c r="G153" s="454"/>
      <c r="H153" s="454"/>
      <c r="I153" s="454"/>
      <c r="J153" s="296"/>
      <c r="K153" s="295"/>
    </row>
    <row r="154" spans="1:11">
      <c r="A154" s="454" t="s">
        <v>546</v>
      </c>
      <c r="B154" s="454"/>
      <c r="C154" s="454"/>
      <c r="D154" s="454"/>
      <c r="E154" s="454"/>
      <c r="F154" s="454"/>
      <c r="G154" s="454"/>
      <c r="H154" s="454"/>
      <c r="I154" s="454"/>
      <c r="J154" s="295"/>
      <c r="K154" s="295"/>
    </row>
    <row r="155" spans="1:11">
      <c r="A155" s="454" t="s">
        <v>547</v>
      </c>
      <c r="B155" s="454"/>
      <c r="C155" s="454"/>
      <c r="D155" s="454"/>
      <c r="E155" s="454"/>
      <c r="F155" s="454"/>
      <c r="G155" s="454"/>
      <c r="H155" s="454"/>
      <c r="I155" s="454"/>
      <c r="J155" s="295"/>
      <c r="K155" s="295"/>
    </row>
    <row r="156" spans="1:11">
      <c r="A156" s="454" t="s">
        <v>548</v>
      </c>
      <c r="B156" s="454"/>
      <c r="C156" s="454"/>
      <c r="D156" s="454"/>
      <c r="E156" s="454"/>
      <c r="F156" s="454"/>
      <c r="G156" s="454"/>
      <c r="H156" s="454"/>
      <c r="I156" s="454"/>
      <c r="J156" s="295"/>
      <c r="K156" s="295"/>
    </row>
    <row r="157" spans="1:11">
      <c r="A157" s="454" t="s">
        <v>549</v>
      </c>
      <c r="B157" s="454"/>
      <c r="C157" s="454"/>
      <c r="D157" s="454"/>
      <c r="E157" s="454"/>
      <c r="F157" s="454"/>
      <c r="G157" s="454"/>
      <c r="H157" s="454"/>
      <c r="I157" s="454"/>
      <c r="J157" s="295"/>
      <c r="K157" s="295"/>
    </row>
    <row r="158" spans="1:11">
      <c r="A158" s="287"/>
      <c r="B158" s="287"/>
      <c r="C158" s="287"/>
      <c r="D158" s="287"/>
      <c r="E158" s="287"/>
      <c r="F158" s="287"/>
      <c r="G158" s="287"/>
      <c r="H158" s="287"/>
      <c r="I158" s="286"/>
      <c r="J158" s="286"/>
      <c r="K158" s="286"/>
    </row>
    <row r="159" spans="1:11">
      <c r="A159" s="287"/>
      <c r="B159" s="287"/>
      <c r="C159" s="287"/>
      <c r="D159" s="287"/>
      <c r="E159" s="287"/>
      <c r="F159" s="287"/>
      <c r="G159" s="287"/>
      <c r="H159" s="287"/>
      <c r="I159" s="286"/>
      <c r="J159" s="286"/>
      <c r="K159" s="286"/>
    </row>
    <row r="160" spans="1:11">
      <c r="A160" s="457" t="s">
        <v>550</v>
      </c>
      <c r="B160" s="457"/>
      <c r="C160" s="457"/>
      <c r="D160" s="457"/>
      <c r="E160" s="457"/>
      <c r="F160" s="457"/>
      <c r="G160" s="457"/>
      <c r="H160" s="457"/>
      <c r="I160" s="457"/>
      <c r="J160" s="297"/>
      <c r="K160" s="297"/>
    </row>
    <row r="161" spans="1:11">
      <c r="A161" s="457" t="s">
        <v>551</v>
      </c>
      <c r="B161" s="457"/>
      <c r="C161" s="457"/>
      <c r="D161" s="457"/>
      <c r="E161" s="457"/>
      <c r="F161" s="457"/>
      <c r="G161" s="457"/>
      <c r="H161" s="457"/>
      <c r="I161" s="457"/>
      <c r="J161" s="297"/>
      <c r="K161" s="297"/>
    </row>
    <row r="162" spans="1:11">
      <c r="A162" s="457" t="s">
        <v>552</v>
      </c>
      <c r="B162" s="457"/>
      <c r="C162" s="457"/>
      <c r="D162" s="457"/>
      <c r="E162" s="457"/>
      <c r="F162" s="457"/>
      <c r="G162" s="457"/>
      <c r="H162" s="457"/>
      <c r="I162" s="457"/>
      <c r="J162" s="297"/>
      <c r="K162" s="297"/>
    </row>
  </sheetData>
  <mergeCells count="73">
    <mergeCell ref="A1:K1"/>
    <mergeCell ref="I7:K7"/>
    <mergeCell ref="A9:A25"/>
    <mergeCell ref="C9:C16"/>
    <mergeCell ref="D9:D16"/>
    <mergeCell ref="E9:E16"/>
    <mergeCell ref="F9:F16"/>
    <mergeCell ref="G9:G16"/>
    <mergeCell ref="I9:I16"/>
    <mergeCell ref="J9:J16"/>
    <mergeCell ref="K9:K16"/>
    <mergeCell ref="A2:K2"/>
    <mergeCell ref="A4:K4"/>
    <mergeCell ref="A5:K5"/>
    <mergeCell ref="A26:A34"/>
    <mergeCell ref="B34:H34"/>
    <mergeCell ref="A7:A8"/>
    <mergeCell ref="B7:B8"/>
    <mergeCell ref="C7:H7"/>
    <mergeCell ref="H9:H16"/>
    <mergeCell ref="B25:H25"/>
    <mergeCell ref="A35:A40"/>
    <mergeCell ref="B40:H40"/>
    <mergeCell ref="A41:A47"/>
    <mergeCell ref="B47:H47"/>
    <mergeCell ref="A48:A57"/>
    <mergeCell ref="B57:H57"/>
    <mergeCell ref="A58:A65"/>
    <mergeCell ref="B65:H65"/>
    <mergeCell ref="A66:A70"/>
    <mergeCell ref="B70:H70"/>
    <mergeCell ref="A71:A76"/>
    <mergeCell ref="B76:H76"/>
    <mergeCell ref="A77:A88"/>
    <mergeCell ref="B88:H88"/>
    <mergeCell ref="A89:A94"/>
    <mergeCell ref="B94:H94"/>
    <mergeCell ref="A95:A104"/>
    <mergeCell ref="B104:H104"/>
    <mergeCell ref="B114:H114"/>
    <mergeCell ref="A115:A121"/>
    <mergeCell ref="B121:H121"/>
    <mergeCell ref="A122:A132"/>
    <mergeCell ref="B132:H132"/>
    <mergeCell ref="A105:A114"/>
    <mergeCell ref="A157:I157"/>
    <mergeCell ref="A160:I160"/>
    <mergeCell ref="A161:I161"/>
    <mergeCell ref="A162:I162"/>
    <mergeCell ref="I136:I138"/>
    <mergeCell ref="B140:H140"/>
    <mergeCell ref="A153:I153"/>
    <mergeCell ref="A154:I154"/>
    <mergeCell ref="C136:C138"/>
    <mergeCell ref="D136:D138"/>
    <mergeCell ref="E136:E138"/>
    <mergeCell ref="F136:F138"/>
    <mergeCell ref="G136:G138"/>
    <mergeCell ref="H136:H138"/>
    <mergeCell ref="A133:A140"/>
    <mergeCell ref="C133:C134"/>
    <mergeCell ref="A155:I155"/>
    <mergeCell ref="A156:I156"/>
    <mergeCell ref="J136:J138"/>
    <mergeCell ref="K136:K138"/>
    <mergeCell ref="H133:H134"/>
    <mergeCell ref="I133:I134"/>
    <mergeCell ref="J133:J134"/>
    <mergeCell ref="K133:K134"/>
    <mergeCell ref="D133:D134"/>
    <mergeCell ref="E133:E134"/>
    <mergeCell ref="F133:F134"/>
    <mergeCell ref="G133:G134"/>
  </mergeCells>
  <pageMargins left="0.511811023622047" right="0.511811023622047" top="0.86614173228346403" bottom="0.78740157480314998" header="0.31496062992126" footer="0.31496062992126"/>
  <pageSetup paperSize="9" scale="80" orientation="landscape" r:id="rId1"/>
  <headerFooter>
    <oddHeader>&amp;L&amp;G&amp;CProcesso 23069.170673/2021-70
PE 32/2022&amp;R&amp;G</oddHeader>
    <oddFooter>&amp;L&amp;"-,Itálico"&amp;9&amp;A&amp;R&amp;P/&amp;N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3</vt:i4>
      </vt:variant>
    </vt:vector>
  </HeadingPairs>
  <TitlesOfParts>
    <vt:vector size="12" baseType="lpstr">
      <vt:lpstr>MENU PLANILHA</vt:lpstr>
      <vt:lpstr>An IIA Relacao Postos</vt:lpstr>
      <vt:lpstr>An IIB Relacao Equip</vt:lpstr>
      <vt:lpstr>An IIC Uniformes</vt:lpstr>
      <vt:lpstr>An IID Materiais</vt:lpstr>
      <vt:lpstr>An III Custo Postos</vt:lpstr>
      <vt:lpstr>Anexo IV-A Custos Final</vt:lpstr>
      <vt:lpstr>Anexo IVB Custos m2</vt:lpstr>
      <vt:lpstr>Anexo IVC Detalhamento Postos</vt:lpstr>
      <vt:lpstr>'An III Custo Postos'!Area_de_impressao</vt:lpstr>
      <vt:lpstr>'Anexo IV-A Custos Final'!Area_de_impressao</vt:lpstr>
      <vt:lpstr>'Anexo IVB Custos m2'!Area_de_impressao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Ramos</dc:creator>
  <cp:lastModifiedBy>Joao Paulo Moraes</cp:lastModifiedBy>
  <cp:lastPrinted>2022-04-21T06:42:48Z</cp:lastPrinted>
  <dcterms:created xsi:type="dcterms:W3CDTF">2021-10-25T18:50:00Z</dcterms:created>
  <dcterms:modified xsi:type="dcterms:W3CDTF">2022-04-21T06:43:03Z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32B60D6F67174E728979D980376C20C5</vt:lpwstr>
  </property>
  <property fmtid="{D5CDD505-2E9C-101B-9397-08002B2CF9AE}" pid="3" name="KSOProductBuildVer">
    <vt:lpwstr>1046-11.2.0.10351</vt:lpwstr>
  </property>
</Properties>
</file>