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.jp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95" activeTab="1"/>
  </bookViews>
  <sheets>
    <sheet name="MENU PLANILHA" sheetId="7" r:id="rId1"/>
    <sheet name="An IIA Relacao Postos" sheetId="3" r:id="rId2"/>
    <sheet name="An IIB Relacao Equip" sheetId="4" r:id="rId3"/>
    <sheet name="An IIC Relacao Materiais" sheetId="5" r:id="rId4"/>
    <sheet name="An IID Uniformes" sheetId="6" r:id="rId5"/>
    <sheet name="An IIIA Arm 12 Diurno" sheetId="8" r:id="rId6"/>
    <sheet name="An IIIB Arm 12 Not" sheetId="9" r:id="rId7"/>
    <sheet name="An IIIC Moto 12 Diurno" sheetId="12" r:id="rId8"/>
    <sheet name="An IIID Moto 12 Not" sheetId="13" r:id="rId9"/>
    <sheet name="An IIIE Sup. 12Diurno" sheetId="14" r:id="rId10"/>
    <sheet name="An IIIF Sup. 12Not" sheetId="15" r:id="rId11"/>
    <sheet name="An IIII G Sup. 44D" sheetId="16" r:id="rId12"/>
    <sheet name="Anexo IV Custos Final" sheetId="1" r:id="rId13"/>
  </sheets>
  <definedNames>
    <definedName name="_xlnm.Print_Area" localSheetId="12">'Anexo IV Custos Final'!$A$1:$G$22</definedName>
  </definedNames>
  <calcPr calcId="144525"/>
</workbook>
</file>

<file path=xl/sharedStrings.xml><?xml version="1.0" encoding="utf-8"?>
<sst xmlns="http://schemas.openxmlformats.org/spreadsheetml/2006/main" count="2143" uniqueCount="366">
  <si>
    <t>PRÓ-REITORIA DE ADMINISTRAÇÃO</t>
  </si>
  <si>
    <t>COORDENAÇÃO DE CONTRATOS</t>
  </si>
  <si>
    <t>Contratação de empresa para prestação de serviços continuados de Vigilância, com regime de dedicação exclusiva de mão de obra, com fornecimento de materiais de reposição e atendimento na Universidade Federal Fluminense (Pregão Eletrônico 88/2021 UASG 150182)</t>
  </si>
  <si>
    <t>dos Equipamentos (preenchimento licitante)</t>
  </si>
  <si>
    <r>
      <rPr>
        <b/>
        <sz val="11"/>
        <rFont val="Calibri"/>
        <family val="2"/>
        <scheme val="minor"/>
      </rPr>
      <t>Anexo II - A - RELAÇÃO DOS POSTOS POR UNIDADES UFF</t>
    </r>
    <r>
      <rPr>
        <sz val="11"/>
        <rFont val="Calibri"/>
        <family val="2"/>
        <scheme val="minor"/>
      </rPr>
      <t xml:space="preserve">  </t>
    </r>
  </si>
  <si>
    <t>Contratação de empresa para prestação de serviços continuados de Vigilância, com regime de dedicação exclusiva de mão de obra, com fornecimento de materiais de reposição e atendimento na Universidade Federal Fluminense</t>
  </si>
  <si>
    <t>UN</t>
  </si>
  <si>
    <t>CAMPUS</t>
  </si>
  <si>
    <t>CARGO</t>
  </si>
  <si>
    <t>PORTE</t>
  </si>
  <si>
    <t>TURNO</t>
  </si>
  <si>
    <t>POSTOS</t>
  </si>
  <si>
    <t>PESSOAS</t>
  </si>
  <si>
    <t>INTERIOR</t>
  </si>
  <si>
    <t>ANGRA DOS REIS - IEAR (Jacuecanga)End. Av. do Trabalhador, 179 - Jacuecanga - Angra dos Reis</t>
  </si>
  <si>
    <t>VIGILANTE DIURNO</t>
  </si>
  <si>
    <t>DESARMADO</t>
  </si>
  <si>
    <t>12 X 36</t>
  </si>
  <si>
    <t>VIGILANTE NOTURNO</t>
  </si>
  <si>
    <t>ANGRA DOS REIS - RETIRO End. Av. Vereador Benedito Adelino - Retiro, Angra dos Reis - RJ</t>
  </si>
  <si>
    <t>CAMPOS - End. Rua José do Patrocínio, 71 - Campos dos Goytacazes - RJ</t>
  </si>
  <si>
    <t>ARMADO</t>
  </si>
  <si>
    <t>CAMPOS - XV DE NOVEMBRO (Novo Prédio)</t>
  </si>
  <si>
    <t>IGUABA GRANDE End. Rod. Amaral Peixoto, Km 100 - Iguaba Grande - RJ</t>
  </si>
  <si>
    <t>VIGILANTE MOTO DIURNO</t>
  </si>
  <si>
    <t>VIGILANTE MOTO NOTURNO</t>
  </si>
  <si>
    <t>PETRÓPOLIS End. Rua Domingos Silvério, sn. Quitandinha - Petrópolis</t>
  </si>
  <si>
    <t>NOVA FRIBURGO End. Rua Dr. Silvio Henrique Braune, 22, Centro, Nova Friburgo - RJ</t>
  </si>
  <si>
    <t>MACAÉ End. Av. Aluízio da Silva Gomes, 50 - Granja dos Cavaleiros - Macaé</t>
  </si>
  <si>
    <t>RIO DAS OSTRAS (ICT) End. Rua Recife. Quadra 07, Jardim Bela Vista, Rio das Ostras - RJ</t>
  </si>
  <si>
    <t>RIO DAS OSTRAS (IHS) End. Rua Recife. Quadra 07, Jardim Bela Vista, Rio das Ostras - RJ</t>
  </si>
  <si>
    <t>RIO DAS OSTRAS End. Avenida Jane Maria Martins Figueira nº 1401, bairro Jardim Mariléa</t>
  </si>
  <si>
    <t>SANTO ANTÔNIO DE PÁDUA  End. Rua Chaim Elias, s/n.º, Centro, Santo Antônio de Pádua - RJ</t>
  </si>
  <si>
    <t>CACHOEIRA DE MACACU (FAZENDA VETERINÁRIA) End. Rod. RJ 122, Km 32 - Funchal - Cachoeira de Macacu - RJ</t>
  </si>
  <si>
    <t>VOLTA REDONDA - EEIMVR (Vila) Av. dos Trabalhadores, 420 - Volta Redonda - RJ</t>
  </si>
  <si>
    <t>VOLTA REDONDA -  ICHS (Aterrado) Rua Desembargador Ellys Hermidyo Figueira 783 - Aterrado - Volta Redonda</t>
  </si>
  <si>
    <t>GERAL INTERIOR</t>
  </si>
  <si>
    <t>SUPERVISOR</t>
  </si>
  <si>
    <t>44 HORAS</t>
  </si>
  <si>
    <t>NITERÓI</t>
  </si>
  <si>
    <t>VALONGUINHO End.  R. Mario Santos Braga, 28 - Centro, Niterói - RJ, 24020-140</t>
  </si>
  <si>
    <t>VIGILANTE DIURNO (Biomédico)</t>
  </si>
  <si>
    <t>VIGILANTE NOTURNO (Biomédico)</t>
  </si>
  <si>
    <t>GRAGOATÁ End. Av. R. Prof. Marcos Waldemar de Freitas Reis s/n - São Domingos, RJ</t>
  </si>
  <si>
    <t>VIGILANTE NOTURNO (Moradia)</t>
  </si>
  <si>
    <t>PRAIA VERMELHA End. Rua Passo da Pátria, n.º 156, bairro São Domingos, Niterói - RJ</t>
  </si>
  <si>
    <t>VIGILANTE DIURNO (Obra Química)</t>
  </si>
  <si>
    <t>VIGILANTE NOTURNO (Obra Química)</t>
  </si>
  <si>
    <t>VIGILANTE NOTURNO
(Base 04 - Litorânea)</t>
  </si>
  <si>
    <t>REITORIA/CEART End. Rua Miguel de Frias, 9 - Icaraí - Niterói - RJ</t>
  </si>
  <si>
    <t>INST.ARTE - IACS End. Rua Lara Vilela, 126 - São Domingos, Niterói - RJ</t>
  </si>
  <si>
    <t>MEQUINHO End. Av.  Jansem de Mello, 174/Fundos – Centro, Niterói - RJ</t>
  </si>
  <si>
    <t>FACULDADE DE VETERINARIA End Rua Vital Brazil Filho, 64 - Vital Brazil, Niteroi - RJ</t>
  </si>
  <si>
    <t>COLUNI End. Rua Alexandre Moura, 8 - São Domingos, Niterói - RJ</t>
  </si>
  <si>
    <t>FACULDADE DE ENFERMAGEM End. Rua Dr. Celestino,78- Centro, Niterói - RJ</t>
  </si>
  <si>
    <t>FACULDADE DE DIREITO End. Rua Presidente Pedreira,62 - Ingá, Niterói - RJ</t>
  </si>
  <si>
    <t>FACULDADE DE DIREITO II - End. Rua Tiradentes, 17- Ingá, Niterói - RJ</t>
  </si>
  <si>
    <t>FARMÁCIA UNIVERSITÁRIA End. Rua Marquês do Paraná, 282 - Centro, Niterói - RJ</t>
  </si>
  <si>
    <t>FACULDADE DE FARMÁCIA End. Rua Mário Viana. 523 - Santa Rosa, Niterói - RJ</t>
  </si>
  <si>
    <t>FACULDADE DE MEDICINA End. Rua Marquês de Paraná 303 - Centro, Niterói - RJ</t>
  </si>
  <si>
    <t>SUPERVISÃO GERAL</t>
  </si>
  <si>
    <t>SUPERVISOR DIURNO</t>
  </si>
  <si>
    <t>SUPERVISOR NOTURNO</t>
  </si>
  <si>
    <t xml:space="preserve">TOTAL GERAL </t>
  </si>
  <si>
    <t>Custo total da contratação</t>
  </si>
  <si>
    <t>ITEM</t>
  </si>
  <si>
    <t>DISCRIMINAÇÃO DO POSTO</t>
  </si>
  <si>
    <t>FUNCIONÁRIOS</t>
  </si>
  <si>
    <t>VALOR MENSAL POR POSTO</t>
  </si>
  <si>
    <t>TOTAL MENSAL</t>
  </si>
  <si>
    <t>TOTAL ANUAL</t>
  </si>
  <si>
    <t>Vigilante 12x36 horas diurno</t>
  </si>
  <si>
    <t>Vigilante 12x36 horas noturno</t>
  </si>
  <si>
    <t>Vigilante desarmado 12x36 horas diurno</t>
  </si>
  <si>
    <t>ITEM CANCELADO</t>
  </si>
  <si>
    <t>Vigilante desarmado 12x36 horas noturno</t>
  </si>
  <si>
    <t>Vigilante Motociclista  12x36 horas diurno</t>
  </si>
  <si>
    <t>Vigilante Motociclista  12x36 horas noturno</t>
  </si>
  <si>
    <t>Supervisor 12x36 horas diurno</t>
  </si>
  <si>
    <t>Supervisor 12x36 horas noturno</t>
  </si>
  <si>
    <t>Supervisor 44 horas diurno</t>
  </si>
  <si>
    <t>TOTAL</t>
  </si>
  <si>
    <t>Diárias de Vigilantes</t>
  </si>
  <si>
    <t>Total + Diárias</t>
  </si>
  <si>
    <t>Anexo II - B - RELAÇÃO DE EQUIPAMENTOS</t>
  </si>
  <si>
    <t>ESTIMATIVA DE CUSTO DE EQUIPAMENTO (APENAS PARA OS POSTOS VIGILANTE ARMADO E MOTOCICLISTA ARMADO)</t>
  </si>
  <si>
    <t>VEÍCULOS / EQUIPAMENTOS</t>
  </si>
  <si>
    <t>UNIDADE</t>
  </si>
  <si>
    <t>QUANT.</t>
  </si>
  <si>
    <t>VALOR</t>
  </si>
  <si>
    <t>UNITÁRIO</t>
  </si>
  <si>
    <t>PARCIAL</t>
  </si>
  <si>
    <t>Motocicleta, modelo CG 150 ou similar, flex, com câmbio manual, 0 Km.</t>
  </si>
  <si>
    <t>unid.</t>
  </si>
  <si>
    <t>Revólver calibre 38</t>
  </si>
  <si>
    <t>Depreciação da Motocicleta Cód 8711 - 48 meses</t>
  </si>
  <si>
    <t>Depreciação do Revólver Cód 8303 - 120 meses</t>
  </si>
  <si>
    <t>Total dos equipamentos por mês</t>
  </si>
  <si>
    <t>Custo por posto  = Soma da depreciação por 140 vigilantes e motociclistas armados</t>
  </si>
  <si>
    <t>Depreciação com base na INSTRUÇÃO NORMATIVA RFB Nº 1700, DE 14 DE MARÇO DE 2017 da Secretaria da Receita Federal do Brasil</t>
  </si>
  <si>
    <t xml:space="preserve">ESTIMATIVA DE CUSTO DE EQUIPAMENTO </t>
  </si>
  <si>
    <t>Carro, zero km, motor 1.6 ou superior, bicombustível (álcool e gasolina), 5 portas, 05 lugares, ar condicionado.</t>
  </si>
  <si>
    <t>Relógio de ponto eletrônico</t>
  </si>
  <si>
    <t xml:space="preserve">Celular, tela 5" ou superior, RAM 2GB ou superior, câmera traseira, com carregador e bateria 2500mAh ou superior, conectividade Wi-fi, 3G/4G, Bluetoof e GPS. Sistema Android 9 ou superior ou sistema similar. </t>
  </si>
  <si>
    <t>Depreciação do veículo Cód 8703 - 60 meses</t>
  </si>
  <si>
    <t>Depreciação do Relógio de Ponto Cód 8471 - 60 meses</t>
  </si>
  <si>
    <t>Depreciação do celular Cód 8517 - 60 meses</t>
  </si>
  <si>
    <t>Custo por posto  = Soma da depreciação por 5 supervisores</t>
  </si>
  <si>
    <t>Unidades</t>
  </si>
  <si>
    <t>Quantidades</t>
  </si>
  <si>
    <t>Relógios de ponto</t>
  </si>
  <si>
    <t>Celulares</t>
  </si>
  <si>
    <t>i</t>
  </si>
  <si>
    <t>Angra dos Reis - Jacuecanga</t>
  </si>
  <si>
    <t>Angra dos Reis - Retiro</t>
  </si>
  <si>
    <t>Cachoeira de Macacu</t>
  </si>
  <si>
    <t>Campos de Goytacazes - Centro</t>
  </si>
  <si>
    <t>Campos de Goytacazes - XV de Novembro</t>
  </si>
  <si>
    <t>Campus da Praia Vermelha</t>
  </si>
  <si>
    <t>Campus do Gragoatá</t>
  </si>
  <si>
    <t>Campus do Valonguinho</t>
  </si>
  <si>
    <t>Coluni</t>
  </si>
  <si>
    <t>Faculdade de Direito I</t>
  </si>
  <si>
    <t>Faculdade de Direito II</t>
  </si>
  <si>
    <t>Faculdade de Enfermagem</t>
  </si>
  <si>
    <t>Faculdade de Farmácia</t>
  </si>
  <si>
    <t>Farmácia Universitária</t>
  </si>
  <si>
    <t>Faculdade de Veterinária</t>
  </si>
  <si>
    <t>Faculdade de Medicina</t>
  </si>
  <si>
    <t xml:space="preserve">IACS </t>
  </si>
  <si>
    <t>Iguaba Grande</t>
  </si>
  <si>
    <t>Macaé</t>
  </si>
  <si>
    <t>Mequinho</t>
  </si>
  <si>
    <t>Nova Friburgo</t>
  </si>
  <si>
    <t>Petrópolis</t>
  </si>
  <si>
    <t>Reitoria</t>
  </si>
  <si>
    <t>Rio das Ostras - ICT/IHS</t>
  </si>
  <si>
    <t>Rio das Ostras - Novo Prédio</t>
  </si>
  <si>
    <t>Santo Antônio de Pádua</t>
  </si>
  <si>
    <t>Volta Redonda - Aterrado</t>
  </si>
  <si>
    <t>Volta Redonda - Vila</t>
  </si>
  <si>
    <t>TOTAIS</t>
  </si>
  <si>
    <t>Anexo II - C - RELAÇÃO DE MATERIAIS</t>
  </si>
  <si>
    <t>MATERIAIS A SEREM DISPONIBILIZADOS</t>
  </si>
  <si>
    <t>Para a perfeita execução das atividades do objeto desta contratação, a Contratada deverá disponibilizar os materiais e equipamentos, promovendo sua substituição quando necessário, conforme tabela abaixo:</t>
  </si>
  <si>
    <t>COMPOSIÇÃO DE CUSTO DE MATERIAIS</t>
  </si>
  <si>
    <t>DISCRIMINAÇÃO</t>
  </si>
  <si>
    <t>UNID.</t>
  </si>
  <si>
    <t>VALOR UNITÁRIO</t>
  </si>
  <si>
    <t>VALOR TOTAL 
(ANUAL)</t>
  </si>
  <si>
    <t>Munição para calibre 38</t>
  </si>
  <si>
    <t>und</t>
  </si>
  <si>
    <t>Cinto com coldre (com porta munição) (individual)</t>
  </si>
  <si>
    <t>Livro de ocorrência, 50 folhas, capa dura (um por posto a cada trimestre)</t>
  </si>
  <si>
    <t>Tonfa/Cassetete</t>
  </si>
  <si>
    <t>Porta-tonfa/porta-cassetete (um por posto)</t>
  </si>
  <si>
    <t>Apito profissional em metal, com cordão de pescoço, 45cm de comprimento, com nó trabalhado e argola de fixação do apito, na cor preto (um por funcionário)</t>
  </si>
  <si>
    <t>LANTERNA ELÉTRICA - LANTERNA ELÉTRICA, MATERIAL PLÁSTICO/BORRACHA, CARACTERÍSTICAS ADICIONAIS COM 2 TIPOS DE LUZ, SENDO 1 DE LONGO ALCANCE, COM, APLICAÇÃO EQUIPAMENTOS DE ILUMINAÇÃO, TIPO LÂMPADA HALÓGENA, TIPO BATERIA RECARREGÁVEL, TENSÃO NOMINAL 110/220 V (uma por posto noturno)</t>
  </si>
  <si>
    <t>Capa para colete a prova de balas, nível de proteção II-A, dentro da validade especificada pelo fabricante (uso individual)</t>
  </si>
  <si>
    <t>Placa balística (uma por posto)</t>
  </si>
  <si>
    <t>Baleiro (um por posto)</t>
  </si>
  <si>
    <t>Cofre de segurança para guarda de armas curtas</t>
  </si>
  <si>
    <t>Plano de celular com ligação ilimitada de para qualquer operadora no Brasil e internet 10G ou superior.</t>
  </si>
  <si>
    <t>Valor total por ano</t>
  </si>
  <si>
    <t>Valor total por mês</t>
  </si>
  <si>
    <t>Valor total mensal por funcionário: 140 vigilantes</t>
  </si>
  <si>
    <t>CUSTO ESTIMADO DE COMBUSTÍVEL</t>
  </si>
  <si>
    <t>Item</t>
  </si>
  <si>
    <t>Descrição dos veículos</t>
  </si>
  <si>
    <t>Franquia (Km)</t>
  </si>
  <si>
    <t>Valor médio da gasolina (litro)</t>
  </si>
  <si>
    <t>Quantidade média de litros por mês</t>
  </si>
  <si>
    <t>Custo mensal estimado</t>
  </si>
  <si>
    <r>
      <rPr>
        <b/>
        <sz val="10"/>
        <color theme="1"/>
        <rFont val="Calibri"/>
        <family val="2"/>
      </rPr>
      <t>Niterói:</t>
    </r>
    <r>
      <rPr>
        <sz val="10"/>
        <color theme="1"/>
        <rFont val="Calibri"/>
        <family val="2"/>
      </rPr>
      <t xml:space="preserve"> Carro, zero km, 1.6, bicombustível (álcool e gasolina), 5 portas, 05 lugares, ar condicionado.</t>
    </r>
  </si>
  <si>
    <r>
      <rPr>
        <b/>
        <sz val="10"/>
        <color theme="1"/>
        <rFont val="Calibri"/>
        <family val="2"/>
      </rPr>
      <t>Interior:</t>
    </r>
    <r>
      <rPr>
        <sz val="10"/>
        <color theme="1"/>
        <rFont val="Calibri"/>
        <family val="2"/>
      </rPr>
      <t xml:space="preserve"> Carro, zero km, 1.6, bicombustível (álcool e gasolina), 5 portas, 05 lugares, ar condicionado.</t>
    </r>
  </si>
  <si>
    <t>Motocicleta, modelo CG 150 Start ou similar, terrestre, flex, com câmbio manual, 0 Km.</t>
  </si>
  <si>
    <t>Total de custo estimado</t>
  </si>
  <si>
    <t>Valor mensal (R$)</t>
  </si>
  <si>
    <t>Custo anual (R$)</t>
  </si>
  <si>
    <t>Valor total anual por funcionário</t>
  </si>
  <si>
    <t>Valor total mensal por 5 Supervisores</t>
  </si>
  <si>
    <r>
      <rPr>
        <b/>
        <sz val="11"/>
        <color theme="1"/>
        <rFont val="Calibri"/>
        <family val="2"/>
      </rPr>
      <t>Item 1 - Veículos Automóvel -  (média de 12 km/litro)</t>
    </r>
    <r>
      <rPr>
        <sz val="11"/>
        <color theme="1"/>
        <rFont val="Calibri"/>
        <family val="2"/>
      </rPr>
      <t xml:space="preserve">
Niterói: Previsão de 40km/dia = 40 x 30 = 1.200km/mês
Interior: Previsão de aproximadamente 120 km/dia, sendo 120 x 22 dias = 2.640 km/mês. </t>
    </r>
    <r>
      <rPr>
        <b/>
        <sz val="11"/>
        <color theme="1"/>
        <rFont val="Calibri"/>
        <family val="2"/>
      </rPr>
      <t xml:space="preserve">Nota: </t>
    </r>
    <r>
      <rPr>
        <sz val="11"/>
        <color theme="1"/>
        <rFont val="Calibri"/>
        <family val="2"/>
      </rPr>
      <t xml:space="preserve">Condutor residente no interior.
</t>
    </r>
    <r>
      <rPr>
        <b/>
        <sz val="11"/>
        <color theme="1"/>
        <rFont val="Calibri"/>
        <family val="2"/>
      </rPr>
      <t xml:space="preserve">Item  2 - Motocicletas: </t>
    </r>
    <r>
      <rPr>
        <sz val="11"/>
        <color theme="1"/>
        <rFont val="Calibri"/>
        <family val="2"/>
      </rPr>
      <t xml:space="preserve">
Média de  45 km/moto/dia (dia e noite) = 45km/dia x 16 (motos) x 30 dias = 21.600 km/mês
</t>
    </r>
  </si>
  <si>
    <t>Consulta ao site &lt;http://preco.anp.gov.br/include/Resumo_Por_Municipio_Posto.asp&gt; Acesso em 29/11/2021</t>
  </si>
  <si>
    <r>
      <rPr>
        <sz val="11"/>
        <color indexed="8"/>
        <rFont val="Calibri"/>
        <family val="2"/>
        <scheme val="minor"/>
      </rPr>
      <t xml:space="preserve">Plataforma de vigilância patrimonial para uso em celulares e computadores. Aplicativo Findme ou similar! </t>
    </r>
    <r>
      <rPr>
        <sz val="11"/>
        <color rgb="FFFF0000"/>
        <rFont val="Calibri"/>
        <family val="2"/>
        <scheme val="minor"/>
      </rPr>
      <t>(Custo Indireto da licitante)</t>
    </r>
  </si>
  <si>
    <t>Aplicativo de vigilância</t>
  </si>
  <si>
    <t>Plano celular</t>
  </si>
  <si>
    <t>Sede administrativa</t>
  </si>
  <si>
    <t>Fiscalização</t>
  </si>
  <si>
    <t>Supervisores</t>
  </si>
  <si>
    <t>Anexo II - D - RELAÇÃO DE UNIFORMES</t>
  </si>
  <si>
    <t xml:space="preserve">COMPOSIÇÃO DE CUSTO DE UNIFORME PARA O CARGO DE VIGILANTE </t>
  </si>
  <si>
    <t>DISCRIMINAÇÃO UNIFORME</t>
  </si>
  <si>
    <t>QT. INICIAL</t>
  </si>
  <si>
    <t>QT. SEMESTRE</t>
  </si>
  <si>
    <t>QUANT. ANUAL POR FUNCIONÁRIO</t>
  </si>
  <si>
    <t>VALOR TOTAL</t>
  </si>
  <si>
    <t>Jaqueta em tecido: OXFORD, de boa qualidade, modelo tradicional, sendo o paletó de três botões, forrado internamente, inclusive nas mangas, na cor preta, cor e modelo padrão para todos, contendo distintivo da empresa em logomarca, em tamanho, cor e formato discreto na lateral da manga direita e do lado esquerdo do peito, desde que não se assemelhei aos uniformes das forças de segurança pública, de acordo com a Portaria DPF Nº 3233 DE 10/12/2012</t>
  </si>
  <si>
    <t>peça</t>
  </si>
  <si>
    <t>Camisa Tecido Oxford. mangas curtas, bolso na parte superior lado esquerdo com emblema da empresa</t>
  </si>
  <si>
    <t>Calça Ripstop, cor preta, bolsos laterais e posteriores, cós com passantes de cinto e abertura/fechamento frontal por colchete e zíper, braguilha forrada.</t>
  </si>
  <si>
    <t>Coturno em couro na cor preta</t>
  </si>
  <si>
    <t>par</t>
  </si>
  <si>
    <t>Boné com emblema da empresa na parte frontal</t>
  </si>
  <si>
    <t>Cinto, na cor preta, com ajuste de tamanho regulado por furo, sendo a fivela metálica/niquelada, modelo padrão para todos, sendo de boa qualidade.</t>
  </si>
  <si>
    <t>Meias, Material 100% Poliamida, Tipo Social, Cor Preta,  Cano Longo</t>
  </si>
  <si>
    <t>Capa de chuva, na cor preta, impermeável, em PVC forrado, com capuz e manga longa comum. Botões de pressão em metal ou plástico, com costura reforçada nas áreas de maior tensão e comprimento abaixo dos joelhos. Deverá possuir faixas refletivas na altura das costas e nas mangas, tórax e punhos.</t>
  </si>
  <si>
    <t>Jaqueta de frio forrada manga longa, antialérgica, com decote modelo V, com 20 mm de largura; ribana da cintura e das mangas com 70 mm de largura.</t>
  </si>
  <si>
    <t>Crachá de identificação em PVC</t>
  </si>
  <si>
    <t>Valor anual por funcionário</t>
  </si>
  <si>
    <t>Valor mensal por funcionário</t>
  </si>
  <si>
    <t>COMPOSIÇÃO DE CUSTO DE UNIFORME PARA O CARGO DE VIGILANTE MOTOCICLISTAS</t>
  </si>
  <si>
    <t>Capa de chuva deverá ser fornecida anualmente, na cor preta, impermeável, em PVC forrado, com capuz e manga longa comum. Botões de pressão em metal ou plástico, com costura reforçada nas áreas de maior tensão e comprimento abaixo dos joelhos. Deverá possuir faixas refletivas na altura das costas e nas mangas, tórax e punhos (com dimensão de 2 a 4 cm, contendo ainda o distintivo da empresa em logomarca, em tamanho, cor e formato discreto na lateral da manga direita e do lado esquerdo do peito, desde que não se assemelhei aos uniformes das forças de segurança pública, de acordo com a Portaria DPF Nº 3233 DE 10/12/2012</t>
  </si>
  <si>
    <t>Capacete para motociclista</t>
  </si>
  <si>
    <t>Luva para motociclistas com protetor, cor preta</t>
  </si>
  <si>
    <t>COMPOSIÇÃO DE CUSTO DE UNIFORME PARA O CARGO DE SUPERVISORES</t>
  </si>
  <si>
    <t>Camisa social, mangas compridas com punho simples, bolso na parte superior lado esquerdo com emblema da emblema da empresa</t>
  </si>
  <si>
    <t>Calça social em Oxford, cor preta, braguilha forrada, cós entrelaçado, forrado, com passadores, 2 bolsos laterais e 2 bolsos traseiros.</t>
  </si>
  <si>
    <t xml:space="preserve">Sapato tipo social de couro na cor preta </t>
  </si>
  <si>
    <t>Paletó, cor preto, em tecido tipo lã fria super 100, viscose ou similar, forrado internamente, inclusive mangas.</t>
  </si>
  <si>
    <t>Anexo III - A - FORMAÇÃO CUSTOS VIGILANTE ARMADO 12X36 DIURNO</t>
  </si>
  <si>
    <t>ITEM 01</t>
  </si>
  <si>
    <t>MÃO-DE-OBRA VINCULADA À EXECUÇÃO CONTRATUAL</t>
  </si>
  <si>
    <t>Dados para composição dos custos referentes a mão de obra</t>
  </si>
  <si>
    <t>Tipo de serviço</t>
  </si>
  <si>
    <t>Vigilante Armado – 12x36 Diurno</t>
  </si>
  <si>
    <t>Dias trabalhados por mês</t>
  </si>
  <si>
    <t>Classificação Brasileira de Ocupações (CBO)</t>
  </si>
  <si>
    <t>CBO 5173-30</t>
  </si>
  <si>
    <t>Salário Normativo da Categoria Profissional</t>
  </si>
  <si>
    <t xml:space="preserve">Categoria profissional </t>
  </si>
  <si>
    <t>Vigilante</t>
  </si>
  <si>
    <t>Quantidade de postos</t>
  </si>
  <si>
    <t>Data base da categoria</t>
  </si>
  <si>
    <t>CCT Utilizada</t>
  </si>
  <si>
    <t xml:space="preserve">RJ00002081/2020 </t>
  </si>
  <si>
    <t>MÓDULO 1 : COMPOSIÇÃO DA REMUNERAÇÃO</t>
  </si>
  <si>
    <t>Composição da Remuneração</t>
  </si>
  <si>
    <t>Valor(R$)</t>
  </si>
  <si>
    <t>A</t>
  </si>
  <si>
    <t>Salário 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</si>
  <si>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</si>
  <si>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</si>
  <si>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</si>
  <si>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</si>
  <si>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</si>
  <si>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</si>
  <si>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</si>
  <si>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</si>
  <si>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</si>
  <si>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 xml:space="preserve">Outros </t>
  </si>
  <si>
    <t>Total de Remuneração</t>
  </si>
  <si>
    <t>MÓDULO 2: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</si>
  <si>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</si>
  <si>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</si>
  <si>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</si>
  <si>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Valor (R$)</t>
  </si>
  <si>
    <t>13º (décimo terceiro) Salário</t>
  </si>
  <si>
    <t>Férias e Adicional de Férias</t>
  </si>
  <si>
    <t>Total</t>
  </si>
  <si>
    <t>Incidência do Submódulo 2.2 - Encargos previdenciários (GPS), FGTS e outras contribuições                                                                                     (Cálculo sobre a remuneração, pois será adotada a Conta Vinculada)</t>
  </si>
  <si>
    <t>Submódulo 2.2 - Encargos Previdenciários (GPS), Fundo de Garantia por Tempo de Serviço (FGTS) e outras contribuições</t>
  </si>
  <si>
    <t>2.2</t>
  </si>
  <si>
    <t>GPS, FGTS e outras contribuições</t>
  </si>
  <si>
    <t>%</t>
  </si>
  <si>
    <t>INSS</t>
  </si>
  <si>
    <t>Salário Educação</t>
  </si>
  <si>
    <t>Seguro acidente do trabalho</t>
  </si>
  <si>
    <t>SESI ou SESC</t>
  </si>
  <si>
    <t>SENAI ou SENAC</t>
  </si>
  <si>
    <t>SEBRAE</t>
  </si>
  <si>
    <t>G</t>
  </si>
  <si>
    <t>INCRA</t>
  </si>
  <si>
    <t>H</t>
  </si>
  <si>
    <t>FGTS</t>
  </si>
  <si>
    <t>Itens não aplicáveis a Optantes do SIMPLES</t>
  </si>
  <si>
    <t>Submódulo 2.3 - Benefícios Mensais e Diários</t>
  </si>
  <si>
    <t>2.3</t>
  </si>
  <si>
    <t>Benefícios Mensais e Diários</t>
  </si>
  <si>
    <t>Transporte</t>
  </si>
  <si>
    <t>Ticket Alimentação</t>
  </si>
  <si>
    <t>Seguro de Vida com Assist. Funeral e Familiar)</t>
  </si>
  <si>
    <t>D1</t>
  </si>
  <si>
    <t xml:space="preserve">Outros (Social Familiar) </t>
  </si>
  <si>
    <t>D2</t>
  </si>
  <si>
    <t>Outros (Qualificação/formação profissional)</t>
  </si>
  <si>
    <t>Total de Benefícios Mensais e Diários</t>
  </si>
  <si>
    <t>Quadro-Resumo do Módulo 2 - Encargos e Benefícios anuais, mensais e diários</t>
  </si>
  <si>
    <t>Encargos e Benefícios Anuais, Mensais e Diários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</si>
  <si>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</si>
  <si>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</si>
  <si>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</si>
  <si>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</si>
  <si>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</si>
  <si>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</si>
  <si>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</si>
  <si>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</si>
  <si>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4: CUSTO DE REPOSIÇÃO DO PROFISSIONAL AUSENTE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</si>
  <si>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</si>
  <si>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</si>
  <si>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</si>
  <si>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</si>
  <si>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</si>
  <si>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 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</si>
  <si>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</si>
  <si>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</si>
  <si>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</si>
  <si>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Intrajornada</t>
  </si>
  <si>
    <t>4.2</t>
  </si>
  <si>
    <t>Intrajornada</t>
  </si>
  <si>
    <t>Intervalo para repouso ou alimentação</t>
  </si>
  <si>
    <t>Quadro-Resumo do Módulo 4 - Custo de Reposição do Profissional Ausente</t>
  </si>
  <si>
    <t>Custo de reposição</t>
  </si>
  <si>
    <t>MÓDULO 5: INSUMOS DIVERSOS</t>
  </si>
  <si>
    <t>Insumos Diversos</t>
  </si>
  <si>
    <t>Uniformes</t>
  </si>
  <si>
    <t xml:space="preserve">Materiais </t>
  </si>
  <si>
    <t>Equipamentos</t>
  </si>
  <si>
    <t>Outros (Relógio de ponto biométrico)</t>
  </si>
  <si>
    <t>Total de Insumos Diversos</t>
  </si>
  <si>
    <t>MÓDULO 6: CUSTOS INDIRETOS, TRIBUTOS E LUCRO – (LUCRO PRESUMIDO)</t>
  </si>
  <si>
    <t>Custos Indiretos, Tributos e Lucro</t>
  </si>
  <si>
    <t>Custos Indiretos</t>
  </si>
  <si>
    <t>Lucro</t>
  </si>
  <si>
    <t>Tributos</t>
  </si>
  <si>
    <t>C.1) Tributos Federais (PIS = 0,65% e COFINS = 3%)</t>
  </si>
  <si>
    <t>C.2) Tributos Estaduais (especificar)</t>
  </si>
  <si>
    <t>C.3) Tributos Municipais (ISS = 5,0%)</t>
  </si>
  <si>
    <t>C.4) Outros tributos (especificar)</t>
  </si>
  <si>
    <t>Quadro-resumo do Custo por Empregado</t>
  </si>
  <si>
    <t>Mão-de-obra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</si>
  <si>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</si>
  <si>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</si>
  <si>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</si>
  <si>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</si>
  <si>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</si>
  <si>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D+E)</t>
  </si>
  <si>
    <t>Módulo 6 – Custos Indiretos, Tributos e Lucro</t>
  </si>
  <si>
    <t>Valor total por empregado</t>
  </si>
  <si>
    <t>Valor total por posto</t>
  </si>
  <si>
    <t>FATOR K</t>
  </si>
  <si>
    <t>MÓDULO 6: CUSTOS INDIRETOS, TRIBUTOS E LUCRO – (LUCRO REAL)</t>
  </si>
  <si>
    <t>C.1) Tributos Federais (PIS = 1,65% e COFINS = 7,60%)</t>
  </si>
  <si>
    <t>Anexo III - B - FORMAÇÃO CUSTOS VIGILANTE ARMADO 12X36 NOTURNO</t>
  </si>
  <si>
    <t>ITEM 02</t>
  </si>
  <si>
    <t>Vigilante Armado – 12x36 Noturno</t>
  </si>
  <si>
    <t>Anexo III - C - FORMAÇÃO CUSTOS VIGILANTE MOTOCICLISTA 12X36 DIURNO</t>
  </si>
  <si>
    <t>ITEM 05</t>
  </si>
  <si>
    <t>Motociclista – 12x36 Diurno</t>
  </si>
  <si>
    <t>Anexo III - D - FORMAÇÃO CUSTOS VIGILANTE MOTOCICLISTA 12X36 NOTURNO</t>
  </si>
  <si>
    <t>ITEM 06</t>
  </si>
  <si>
    <t>Motociclista – 12x36 Noturno</t>
  </si>
  <si>
    <t>Anexo III - E - FORMAÇÃO CUSTOS SUPERVISOR 12X36 DIURNO</t>
  </si>
  <si>
    <t>Supervisor – 12x36 Diurno</t>
  </si>
  <si>
    <t>CBO 5103</t>
  </si>
  <si>
    <t>Anexo III - F - FORMAÇÃO CUSTOS SUPERVISOR 12X36 NOTURNO</t>
  </si>
  <si>
    <t>Supervisor – 12x36 Noturno</t>
  </si>
  <si>
    <t>Anexo III - G - FORMAÇÃO CUSTOS SUPERVISOR 44 DIURNO</t>
  </si>
  <si>
    <t>Supervisor – 44h Diurno</t>
  </si>
  <si>
    <r>
      <rPr>
        <b/>
        <sz val="9"/>
        <color rgb="FFFF0000"/>
        <rFont val="Verdana"/>
        <family val="2"/>
      </rPr>
      <t>Anexo III - H - PLANILHA DE COMPOSIÇÃO DE CUSTOS E FORMAÇÃO DE PREÇOS</t>
    </r>
    <r>
      <rPr>
        <sz val="9"/>
        <color rgb="FFFF0000"/>
        <rFont val="Verdana"/>
        <family val="2"/>
      </rPr>
      <t xml:space="preserve"> (Anexo VII da I.N. da SLTI/MPOG n.º 5 de 26/Maio/2017   </t>
    </r>
  </si>
  <si>
    <t>Vigilante armado 12x36 horas diurno</t>
  </si>
  <si>
    <t>Vigilante armado 12x36 horas noturno</t>
  </si>
  <si>
    <t xml:space="preserve">Vigilante Motociclista armado 12x36 horas diurno </t>
  </si>
  <si>
    <t>Vigilante Motociclista armado 12x36 horas noturno</t>
  </si>
  <si>
    <t>Supervisor desarmado 12x36 horas diurno</t>
  </si>
  <si>
    <t>Supervisor desarmado 12x36 horas noturno</t>
  </si>
  <si>
    <t>Supervisor desarmado 44 horas diurno</t>
  </si>
</sst>
</file>

<file path=xl/styles.xml><?xml version="1.0" encoding="utf-8"?>
<styleSheet xmlns="http://schemas.openxmlformats.org/spreadsheetml/2006/main">
  <numFmts count="9">
    <numFmt numFmtId="176" formatCode="d/m/yyyy"/>
    <numFmt numFmtId="177" formatCode="_-* #,##0.00_-;\-* #,##0.00_-;_-* &quot;-&quot;??_-;_-@_-"/>
    <numFmt numFmtId="178" formatCode="_-&quot;R$&quot;\ * #,##0.00_-;\-&quot;R$&quot;\ * #,##0.00_-;_-&quot;R$&quot;\ * &quot;-&quot;??_-;_-@"/>
    <numFmt numFmtId="179" formatCode="_-&quot;R$&quot;\ * #,##0.00_-;\-&quot;R$&quot;\ * #,##0.00_-;_-&quot;R$&quot;\ * &quot;-&quot;??_-;_-@_-"/>
    <numFmt numFmtId="180" formatCode="&quot;R$&quot;\ #,##0.00"/>
    <numFmt numFmtId="181" formatCode="_-* #,##0_-;\-* #,##0_-;_-* &quot;-&quot;_-;_-@_-"/>
    <numFmt numFmtId="182" formatCode="_-&quot;R$&quot;\ * #,##0_-;\-&quot;R$&quot;\ * #,##0_-;_-&quot;R$&quot;\ * &quot;-&quot;_-;_-@_-"/>
    <numFmt numFmtId="183" formatCode="_-* #,##0.000000_-;\-* #,##0.000000_-;_-* &quot;-&quot;??_-;_-@_-"/>
    <numFmt numFmtId="184" formatCode="#,##0.00_);\(#,##0.00\)"/>
  </numFmts>
  <fonts count="7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rgb="FFFF000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Verdana"/>
      <family val="2"/>
    </font>
    <font>
      <b/>
      <sz val="9"/>
      <color theme="1"/>
      <name val="Verdan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3"/>
      <color rgb="FF000000"/>
      <name val="Calibri"/>
      <family val="2"/>
    </font>
    <font>
      <sz val="13"/>
      <name val="Calibri"/>
      <family val="2"/>
    </font>
    <font>
      <sz val="13"/>
      <color rgb="FF000000"/>
      <name val="Calibri"/>
      <family val="2"/>
    </font>
    <font>
      <b/>
      <sz val="12"/>
      <color rgb="FF000000"/>
      <name val="Calibri"/>
      <family val="2"/>
    </font>
    <font>
      <b/>
      <sz val="13"/>
      <color theme="1"/>
      <name val="Calibri"/>
      <family val="2"/>
    </font>
    <font>
      <b/>
      <sz val="12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Verdana"/>
      <family val="2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FF0000"/>
      <name val="Verdana"/>
      <family val="2"/>
    </font>
    <font>
      <b/>
      <sz val="12"/>
      <color theme="0"/>
      <name val="Calibri"/>
      <family val="2"/>
    </font>
    <font>
      <b/>
      <sz val="12"/>
      <color theme="0"/>
      <name val="+mn-cs"/>
      <family val="2"/>
    </font>
    <font>
      <b/>
      <sz val="12"/>
      <color theme="0"/>
      <name val="Arial"/>
      <family val="2"/>
    </font>
    <font>
      <b/>
      <sz val="11"/>
      <color theme="0"/>
      <name val="+mn-cs"/>
      <family val="2"/>
    </font>
  </fonts>
  <fills count="4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4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medium">
        <color rgb="FF000000"/>
      </bottom>
    </border>
    <border>
      <left/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medium"/>
      <top style="medium"/>
      <bottom style="medium">
        <color rgb="FF000000"/>
      </bottom>
    </border>
    <border>
      <left style="medium"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/>
    </border>
    <border>
      <left/>
      <right style="thin">
        <color rgb="FF000000"/>
      </right>
      <top style="medium">
        <color rgb="FF000000"/>
      </top>
      <bottom style="thin"/>
    </border>
    <border>
      <left style="thin">
        <color rgb="FF000000"/>
      </left>
      <right style="medium"/>
      <top style="medium">
        <color rgb="FF000000"/>
      </top>
      <bottom style="thin"/>
    </border>
    <border>
      <left style="medium"/>
      <right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medium"/>
      <top/>
      <bottom/>
    </border>
    <border>
      <left/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7" fontId="20" fillId="0" borderId="0" applyFont="0" applyFill="0" applyBorder="0" applyProtection="0">
      <alignment/>
    </xf>
    <xf numFmtId="181" fontId="2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9" fontId="0" fillId="0" borderId="0" applyFont="0" applyFill="0" applyBorder="0" applyAlignment="0" applyProtection="0"/>
    <xf numFmtId="0" fontId="55" fillId="0" borderId="1" applyNumberFormat="0" applyFill="0" applyProtection="0">
      <alignment/>
    </xf>
    <xf numFmtId="0" fontId="53" fillId="3" borderId="2" applyNumberFormat="0" applyProtection="0">
      <alignment/>
    </xf>
    <xf numFmtId="182" fontId="2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179" fontId="0" fillId="0" borderId="0" applyFont="0" applyFill="0" applyBorder="0" applyAlignment="0" applyProtection="0"/>
    <xf numFmtId="0" fontId="56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0" fillId="5" borderId="0" applyNumberFormat="0" applyBorder="0" applyProtection="0">
      <alignment/>
    </xf>
    <xf numFmtId="0" fontId="20" fillId="6" borderId="3" applyNumberFormat="0" applyFont="0" applyProtection="0">
      <alignment/>
    </xf>
    <xf numFmtId="0" fontId="25" fillId="0" borderId="0">
      <alignment/>
      <protection/>
    </xf>
    <xf numFmtId="0" fontId="0" fillId="7" borderId="0" applyNumberFormat="0" applyBorder="0" applyProtection="0">
      <alignment/>
    </xf>
    <xf numFmtId="0" fontId="58" fillId="0" borderId="0" applyNumberFormat="0" applyFill="0" applyBorder="0" applyProtection="0">
      <alignment/>
    </xf>
    <xf numFmtId="0" fontId="59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0" fillId="8" borderId="0" applyNumberFormat="0" applyBorder="0" applyProtection="0">
      <alignment/>
    </xf>
    <xf numFmtId="0" fontId="60" fillId="0" borderId="4" applyNumberFormat="0" applyFill="0" applyProtection="0">
      <alignment/>
    </xf>
    <xf numFmtId="0" fontId="50" fillId="9" borderId="0" applyNumberFormat="0" applyBorder="0" applyProtection="0">
      <alignment/>
    </xf>
    <xf numFmtId="0" fontId="61" fillId="0" borderId="4" applyNumberFormat="0" applyFill="0" applyProtection="0">
      <alignment/>
    </xf>
    <xf numFmtId="0" fontId="50" fillId="10" borderId="0" applyNumberFormat="0" applyBorder="0" applyProtection="0">
      <alignment/>
    </xf>
    <xf numFmtId="0" fontId="49" fillId="0" borderId="5" applyNumberFormat="0" applyFill="0" applyProtection="0">
      <alignment/>
    </xf>
    <xf numFmtId="0" fontId="50" fillId="11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54" fillId="12" borderId="6" applyNumberFormat="0" applyProtection="0">
      <alignment/>
    </xf>
    <xf numFmtId="0" fontId="63" fillId="13" borderId="7" applyNumberFormat="0" applyProtection="0">
      <alignment/>
    </xf>
    <xf numFmtId="0" fontId="65" fillId="13" borderId="6" applyNumberFormat="0" applyProtection="0">
      <alignment/>
    </xf>
    <xf numFmtId="0" fontId="9" fillId="0" borderId="8" applyNumberFormat="0" applyFill="0" applyProtection="0">
      <alignment/>
    </xf>
    <xf numFmtId="0" fontId="0" fillId="14" borderId="0" applyNumberFormat="0" applyBorder="0" applyProtection="0">
      <alignment/>
    </xf>
    <xf numFmtId="0" fontId="66" fillId="15" borderId="0" applyNumberFormat="0" applyBorder="0" applyProtection="0">
      <alignment/>
    </xf>
    <xf numFmtId="0" fontId="62" fillId="16" borderId="0" applyNumberFormat="0" applyBorder="0" applyProtection="0">
      <alignment/>
    </xf>
    <xf numFmtId="0" fontId="64" fillId="17" borderId="0" applyNumberFormat="0" applyBorder="0" applyProtection="0">
      <alignment/>
    </xf>
    <xf numFmtId="179" fontId="0" fillId="0" borderId="0" applyFont="0" applyFill="0" applyBorder="0" applyAlignment="0" applyProtection="0"/>
    <xf numFmtId="0" fontId="0" fillId="18" borderId="0" applyNumberFormat="0" applyBorder="0" applyProtection="0">
      <alignment/>
    </xf>
    <xf numFmtId="0" fontId="5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5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0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5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0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50" fillId="31" borderId="0" applyNumberFormat="0" applyBorder="0" applyProtection="0">
      <alignment/>
    </xf>
    <xf numFmtId="0" fontId="50" fillId="32" borderId="0" applyNumberFormat="0" applyBorder="0" applyProtection="0">
      <alignment/>
    </xf>
    <xf numFmtId="0" fontId="51" fillId="0" borderId="0">
      <alignment/>
      <protection/>
    </xf>
    <xf numFmtId="0" fontId="27" fillId="0" borderId="0">
      <alignment/>
      <protection/>
    </xf>
  </cellStyleXfs>
  <cellXfs count="47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distributed" wrapText="1" shrinkToFit="1" readingOrder="1"/>
    </xf>
    <xf numFmtId="0" fontId="4" fillId="0" borderId="0" xfId="0" applyFont="1" applyAlignment="1">
      <alignment vertical="distributed" wrapText="1" shrinkToFit="1" readingOrder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33" borderId="9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vertical="center"/>
    </xf>
    <xf numFmtId="180" fontId="0" fillId="34" borderId="9" xfId="0" applyNumberFormat="1" applyFill="1" applyBorder="1" applyAlignment="1">
      <alignment horizontal="center" vertical="center"/>
    </xf>
    <xf numFmtId="0" fontId="7" fillId="34" borderId="9" xfId="0" applyFont="1" applyFill="1" applyBorder="1" applyAlignment="1">
      <alignment vertical="center"/>
    </xf>
    <xf numFmtId="180" fontId="8" fillId="34" borderId="10" xfId="0" applyNumberFormat="1" applyFont="1" applyFill="1" applyBorder="1" applyAlignment="1">
      <alignment horizontal="center" vertical="center"/>
    </xf>
    <xf numFmtId="180" fontId="8" fillId="34" borderId="11" xfId="0" applyNumberFormat="1" applyFont="1" applyFill="1" applyBorder="1" applyAlignment="1">
      <alignment horizontal="center" vertical="center"/>
    </xf>
    <xf numFmtId="180" fontId="8" fillId="34" borderId="12" xfId="0" applyNumberFormat="1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left" vertical="center" wrapText="1"/>
    </xf>
    <xf numFmtId="0" fontId="6" fillId="14" borderId="12" xfId="0" applyFont="1" applyFill="1" applyBorder="1" applyAlignment="1">
      <alignment horizontal="left" vertical="center" wrapText="1"/>
    </xf>
    <xf numFmtId="180" fontId="6" fillId="14" borderId="9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9" fillId="35" borderId="9" xfId="0" applyFont="1" applyFill="1" applyBorder="1" applyAlignment="1">
      <alignment horizontal="center" vertical="center"/>
    </xf>
    <xf numFmtId="180" fontId="9" fillId="35" borderId="9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36" borderId="10" xfId="0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left" vertical="center"/>
    </xf>
    <xf numFmtId="0" fontId="9" fillId="36" borderId="9" xfId="0" applyFont="1" applyFill="1" applyBorder="1" applyAlignment="1">
      <alignment horizontal="center" vertical="center"/>
    </xf>
    <xf numFmtId="180" fontId="9" fillId="36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distributed" wrapText="1" shrinkToFit="1" readingOrder="1"/>
    </xf>
    <xf numFmtId="0" fontId="6" fillId="0" borderId="0" xfId="0" applyFont="1" applyAlignment="1">
      <alignment vertical="distributed" wrapText="1" shrinkToFit="1" readingOrder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34" borderId="0" xfId="0" applyFill="1" applyAlignment="1">
      <alignment vertic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9" fontId="12" fillId="34" borderId="10" xfId="52" applyFont="1" applyFill="1" applyBorder="1" applyAlignment="1" applyProtection="1">
      <alignment vertical="center"/>
      <protection/>
    </xf>
    <xf numFmtId="179" fontId="12" fillId="34" borderId="11" xfId="52" applyFont="1" applyFill="1" applyBorder="1" applyAlignment="1" applyProtection="1">
      <alignment vertical="center"/>
      <protection/>
    </xf>
    <xf numFmtId="179" fontId="12" fillId="34" borderId="18" xfId="52" applyFont="1" applyFill="1" applyBorder="1" applyAlignment="1" applyProtection="1">
      <alignment vertical="center"/>
      <protection/>
    </xf>
    <xf numFmtId="0" fontId="0" fillId="0" borderId="10" xfId="28" applyNumberFormat="1" applyFont="1" applyFill="1" applyBorder="1" applyAlignment="1" applyProtection="1">
      <alignment horizontal="center"/>
      <protection/>
    </xf>
    <xf numFmtId="0" fontId="0" fillId="0" borderId="11" xfId="28" applyNumberFormat="1" applyFont="1" applyFill="1" applyBorder="1" applyAlignment="1" applyProtection="1">
      <alignment horizontal="center"/>
      <protection/>
    </xf>
    <xf numFmtId="0" fontId="0" fillId="0" borderId="18" xfId="28" applyNumberFormat="1" applyFont="1" applyFill="1" applyBorder="1" applyAlignment="1" applyProtection="1">
      <alignment horizontal="center"/>
      <protection/>
    </xf>
    <xf numFmtId="176" fontId="0" fillId="34" borderId="10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8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176" fontId="0" fillId="34" borderId="20" xfId="0" applyNumberFormat="1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176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13" fillId="34" borderId="24" xfId="0" applyFont="1" applyFill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vertical="center"/>
      <protection locked="0"/>
    </xf>
    <xf numFmtId="0" fontId="14" fillId="34" borderId="24" xfId="0" applyFont="1" applyFill="1" applyBorder="1" applyAlignment="1">
      <alignment horizontal="center" vertical="center"/>
    </xf>
    <xf numFmtId="0" fontId="14" fillId="0" borderId="25" xfId="0" applyFont="1" applyBorder="1" applyAlignment="1" applyProtection="1">
      <alignment vertical="center"/>
      <protection locked="0"/>
    </xf>
    <xf numFmtId="179" fontId="15" fillId="0" borderId="26" xfId="52" applyFont="1" applyFill="1" applyBorder="1" applyAlignment="1" applyProtection="1">
      <alignment vertical="center"/>
      <protection/>
    </xf>
    <xf numFmtId="179" fontId="15" fillId="0" borderId="26" xfId="52" applyFont="1" applyFill="1" applyBorder="1" applyAlignment="1" applyProtection="1">
      <alignment vertical="center"/>
      <protection locked="0"/>
    </xf>
    <xf numFmtId="0" fontId="14" fillId="0" borderId="25" xfId="0" applyFont="1" applyBorder="1" applyAlignment="1">
      <alignment vertical="center" wrapText="1"/>
    </xf>
    <xf numFmtId="0" fontId="14" fillId="37" borderId="25" xfId="0" applyFont="1" applyFill="1" applyBorder="1" applyAlignment="1">
      <alignment vertical="center" wrapText="1"/>
    </xf>
    <xf numFmtId="179" fontId="15" fillId="37" borderId="26" xfId="52" applyFont="1" applyFill="1" applyBorder="1" applyAlignment="1" applyProtection="1">
      <alignment vertical="center"/>
      <protection locked="0"/>
    </xf>
    <xf numFmtId="0" fontId="14" fillId="34" borderId="27" xfId="0" applyFont="1" applyFill="1" applyBorder="1" applyAlignment="1">
      <alignment vertical="center"/>
    </xf>
    <xf numFmtId="0" fontId="13" fillId="0" borderId="28" xfId="0" applyFont="1" applyBorder="1" applyAlignment="1" applyProtection="1">
      <alignment vertical="center"/>
      <protection locked="0"/>
    </xf>
    <xf numFmtId="179" fontId="13" fillId="0" borderId="29" xfId="52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34" borderId="30" xfId="0" applyFill="1" applyBorder="1" applyAlignme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14" fillId="34" borderId="24" xfId="0" applyFont="1" applyFill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179" fontId="15" fillId="34" borderId="26" xfId="52" applyFont="1" applyFill="1" applyBorder="1" applyAlignment="1" applyProtection="1">
      <alignment vertical="center"/>
      <protection/>
    </xf>
    <xf numFmtId="183" fontId="0" fillId="34" borderId="0" xfId="0" applyNumberFormat="1" applyFill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179" fontId="13" fillId="34" borderId="34" xfId="52" applyFont="1" applyFill="1" applyBorder="1" applyAlignment="1" applyProtection="1">
      <alignment vertical="center"/>
      <protection/>
    </xf>
    <xf numFmtId="177" fontId="0" fillId="34" borderId="0" xfId="0" applyNumberFormat="1" applyFill="1" applyAlignment="1">
      <alignment horizontal="center" vertical="center"/>
    </xf>
    <xf numFmtId="0" fontId="14" fillId="34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179" fontId="15" fillId="34" borderId="9" xfId="52" applyFont="1" applyFill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34" borderId="36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 wrapText="1"/>
    </xf>
    <xf numFmtId="0" fontId="14" fillId="34" borderId="36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justify" vertical="center" wrapText="1"/>
    </xf>
    <xf numFmtId="2" fontId="14" fillId="34" borderId="40" xfId="0" applyNumberFormat="1" applyFont="1" applyFill="1" applyBorder="1" applyAlignment="1">
      <alignment horizontal="center" vertical="center"/>
    </xf>
    <xf numFmtId="179" fontId="15" fillId="34" borderId="31" xfId="52" applyFont="1" applyFill="1" applyBorder="1" applyAlignment="1" applyProtection="1">
      <alignment vertical="center"/>
      <protection/>
    </xf>
    <xf numFmtId="0" fontId="16" fillId="0" borderId="24" xfId="0" applyFont="1" applyBorder="1" applyAlignment="1">
      <alignment horizontal="justify" vertical="center" wrapText="1"/>
    </xf>
    <xf numFmtId="2" fontId="16" fillId="34" borderId="25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justify" vertical="center" wrapText="1"/>
    </xf>
    <xf numFmtId="2" fontId="14" fillId="34" borderId="25" xfId="0" applyNumberFormat="1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vertical="center"/>
    </xf>
    <xf numFmtId="0" fontId="13" fillId="0" borderId="27" xfId="0" applyFont="1" applyBorder="1" applyAlignment="1">
      <alignment horizontal="justify" vertical="center" wrapText="1"/>
    </xf>
    <xf numFmtId="2" fontId="13" fillId="34" borderId="28" xfId="0" applyNumberFormat="1" applyFont="1" applyFill="1" applyBorder="1" applyAlignment="1">
      <alignment horizontal="center" vertical="center"/>
    </xf>
    <xf numFmtId="179" fontId="13" fillId="34" borderId="29" xfId="52" applyFont="1" applyFill="1" applyBorder="1" applyAlignment="1" applyProtection="1">
      <alignment vertical="center"/>
      <protection/>
    </xf>
    <xf numFmtId="0" fontId="14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14" fillId="34" borderId="30" xfId="0" applyFont="1" applyFill="1" applyBorder="1" applyAlignment="1">
      <alignment vertical="center"/>
    </xf>
    <xf numFmtId="0" fontId="17" fillId="34" borderId="40" xfId="0" applyFont="1" applyFill="1" applyBorder="1" applyAlignment="1">
      <alignment vertical="center"/>
    </xf>
    <xf numFmtId="0" fontId="17" fillId="34" borderId="31" xfId="0" applyFont="1" applyFill="1" applyBorder="1" applyAlignment="1">
      <alignment vertical="center"/>
    </xf>
    <xf numFmtId="0" fontId="14" fillId="0" borderId="25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/>
      <protection locked="0"/>
    </xf>
    <xf numFmtId="179" fontId="15" fillId="0" borderId="34" xfId="52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184" fontId="13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13" fillId="0" borderId="40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vertical="center"/>
      <protection locked="0"/>
    </xf>
    <xf numFmtId="184" fontId="13" fillId="0" borderId="26" xfId="0" applyNumberFormat="1" applyFont="1" applyBorder="1" applyAlignment="1">
      <alignment vertical="center"/>
    </xf>
    <xf numFmtId="0" fontId="13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34" borderId="37" xfId="0" applyFill="1" applyBorder="1" applyAlignment="1">
      <alignment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13" fillId="34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4" fillId="34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justify" vertical="center" wrapText="1"/>
    </xf>
    <xf numFmtId="4" fontId="15" fillId="0" borderId="9" xfId="52" applyNumberFormat="1" applyFont="1" applyFill="1" applyBorder="1" applyAlignment="1" applyProtection="1">
      <alignment vertical="center"/>
      <protection/>
    </xf>
    <xf numFmtId="4" fontId="15" fillId="34" borderId="9" xfId="52" applyNumberFormat="1" applyFont="1" applyFill="1" applyBorder="1" applyAlignment="1" applyProtection="1">
      <alignment vertical="center"/>
      <protection/>
    </xf>
    <xf numFmtId="2" fontId="14" fillId="34" borderId="9" xfId="31" applyNumberFormat="1" applyFont="1" applyFill="1" applyBorder="1" applyAlignment="1">
      <alignment vertical="center"/>
      <protection/>
    </xf>
    <xf numFmtId="0" fontId="14" fillId="34" borderId="9" xfId="0" applyFont="1" applyFill="1" applyBorder="1" applyAlignment="1">
      <alignment vertical="center"/>
    </xf>
    <xf numFmtId="179" fontId="13" fillId="34" borderId="9" xfId="52" applyFont="1" applyFill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" vertical="center"/>
      <protection locked="0"/>
    </xf>
    <xf numFmtId="2" fontId="5" fillId="0" borderId="31" xfId="0" applyNumberFormat="1" applyFont="1" applyBorder="1" applyAlignment="1" applyProtection="1">
      <alignment vertical="center"/>
      <protection locked="0"/>
    </xf>
    <xf numFmtId="0" fontId="5" fillId="34" borderId="0" xfId="0" applyFont="1" applyFill="1" applyAlignment="1">
      <alignment horizontal="left" vertical="center"/>
    </xf>
    <xf numFmtId="0" fontId="13" fillId="0" borderId="25" xfId="0" applyFont="1" applyBorder="1" applyAlignment="1">
      <alignment horizontal="justify" vertical="center" wrapText="1"/>
    </xf>
    <xf numFmtId="0" fontId="13" fillId="0" borderId="26" xfId="0" applyFont="1" applyBorder="1" applyAlignment="1">
      <alignment vertical="center" wrapText="1"/>
    </xf>
    <xf numFmtId="0" fontId="14" fillId="0" borderId="43" xfId="31" applyFont="1" applyBorder="1" applyAlignment="1">
      <alignment horizontal="justify" vertical="center" wrapText="1"/>
      <protection/>
    </xf>
    <xf numFmtId="4" fontId="15" fillId="34" borderId="44" xfId="52" applyNumberFormat="1" applyFont="1" applyFill="1" applyBorder="1" applyAlignment="1" applyProtection="1">
      <alignment vertical="center"/>
      <protection/>
    </xf>
    <xf numFmtId="0" fontId="14" fillId="0" borderId="45" xfId="31" applyFont="1" applyBorder="1" applyAlignment="1">
      <alignment horizontal="justify" vertical="center" wrapText="1"/>
      <protection/>
    </xf>
    <xf numFmtId="0" fontId="13" fillId="0" borderId="28" xfId="0" applyFont="1" applyBorder="1" applyAlignment="1">
      <alignment horizontal="justify" vertical="center" wrapText="1"/>
    </xf>
    <xf numFmtId="0" fontId="14" fillId="34" borderId="30" xfId="0" applyFont="1" applyFill="1" applyBorder="1" applyAlignment="1">
      <alignment horizontal="center" vertical="center"/>
    </xf>
    <xf numFmtId="0" fontId="13" fillId="0" borderId="31" xfId="0" applyFont="1" applyBorder="1" applyAlignment="1" applyProtection="1">
      <alignment horizontal="left" vertical="center"/>
      <protection locked="0"/>
    </xf>
    <xf numFmtId="0" fontId="14" fillId="34" borderId="25" xfId="0" applyFont="1" applyFill="1" applyBorder="1" applyAlignment="1">
      <alignment vertical="center"/>
    </xf>
    <xf numFmtId="2" fontId="13" fillId="34" borderId="26" xfId="0" applyNumberFormat="1" applyFont="1" applyFill="1" applyBorder="1" applyAlignment="1">
      <alignment vertical="center"/>
    </xf>
    <xf numFmtId="0" fontId="14" fillId="34" borderId="27" xfId="0" applyFont="1" applyFill="1" applyBorder="1" applyAlignment="1">
      <alignment horizontal="center" vertical="center"/>
    </xf>
    <xf numFmtId="2" fontId="13" fillId="34" borderId="29" xfId="0" applyNumberFormat="1" applyFont="1" applyFill="1" applyBorder="1" applyAlignment="1">
      <alignment vertical="center"/>
    </xf>
    <xf numFmtId="9" fontId="18" fillId="34" borderId="0" xfId="21" applyFont="1" applyFill="1" applyBorder="1" applyAlignment="1" applyProtection="1">
      <alignment horizontal="center" vertical="center"/>
      <protection/>
    </xf>
    <xf numFmtId="184" fontId="0" fillId="34" borderId="0" xfId="0" applyNumberFormat="1" applyFill="1" applyAlignment="1">
      <alignment horizontal="center" vertical="center"/>
    </xf>
    <xf numFmtId="184" fontId="0" fillId="34" borderId="0" xfId="0" applyNumberFormat="1" applyFill="1" applyAlignment="1">
      <alignment vertical="center"/>
    </xf>
    <xf numFmtId="0" fontId="0" fillId="0" borderId="30" xfId="0" applyBorder="1" applyAlignment="1">
      <alignment vertical="center"/>
    </xf>
    <xf numFmtId="0" fontId="5" fillId="0" borderId="31" xfId="0" applyFont="1" applyBorder="1" applyAlignment="1" applyProtection="1">
      <alignment vertical="center"/>
      <protection locked="0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 applyProtection="1">
      <alignment horizontal="left" vertical="center"/>
      <protection locked="0"/>
    </xf>
    <xf numFmtId="180" fontId="15" fillId="0" borderId="26" xfId="52" applyNumberFormat="1" applyFont="1" applyFill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180" fontId="19" fillId="0" borderId="26" xfId="52" applyNumberFormat="1" applyFont="1" applyFill="1" applyBorder="1" applyAlignment="1" applyProtection="1">
      <alignment vertical="center"/>
      <protection locked="0"/>
    </xf>
    <xf numFmtId="177" fontId="0" fillId="34" borderId="0" xfId="0" applyNumberFormat="1" applyFill="1" applyAlignment="1">
      <alignment vertical="center"/>
    </xf>
    <xf numFmtId="179" fontId="15" fillId="38" borderId="26" xfId="52" applyFont="1" applyFill="1" applyBorder="1" applyAlignment="1" applyProtection="1">
      <alignment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left" vertical="center"/>
      <protection locked="0"/>
    </xf>
    <xf numFmtId="179" fontId="15" fillId="38" borderId="34" xfId="52" applyFont="1" applyFill="1" applyBorder="1" applyAlignment="1" applyProtection="1">
      <alignment vertical="center"/>
      <protection locked="0"/>
    </xf>
    <xf numFmtId="0" fontId="14" fillId="0" borderId="27" xfId="0" applyFont="1" applyBorder="1" applyAlignment="1">
      <alignment vertical="center"/>
    </xf>
    <xf numFmtId="0" fontId="13" fillId="0" borderId="28" xfId="0" applyFont="1" applyBorder="1" applyAlignment="1" applyProtection="1">
      <alignment horizontal="left" vertical="center"/>
      <protection locked="0"/>
    </xf>
    <xf numFmtId="180" fontId="13" fillId="0" borderId="29" xfId="52" applyNumberFormat="1" applyFont="1" applyFill="1" applyBorder="1" applyAlignment="1" applyProtection="1">
      <alignment vertical="center"/>
      <protection locked="0"/>
    </xf>
    <xf numFmtId="180" fontId="0" fillId="34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2" fontId="5" fillId="34" borderId="0" xfId="0" applyNumberFormat="1" applyFont="1" applyFill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justify" vertical="center" wrapText="1"/>
    </xf>
    <xf numFmtId="0" fontId="14" fillId="34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13" fillId="0" borderId="40" xfId="0" applyFont="1" applyBorder="1" applyAlignment="1">
      <alignment horizontal="justify" vertical="center" wrapText="1"/>
    </xf>
    <xf numFmtId="0" fontId="13" fillId="0" borderId="31" xfId="0" applyFont="1" applyBorder="1" applyAlignment="1">
      <alignment vertical="center" wrapText="1"/>
    </xf>
    <xf numFmtId="179" fontId="13" fillId="34" borderId="26" xfId="52" applyFont="1" applyFill="1" applyBorder="1" applyAlignment="1" applyProtection="1">
      <alignment vertical="center"/>
      <protection/>
    </xf>
    <xf numFmtId="0" fontId="13" fillId="0" borderId="28" xfId="0" applyFont="1" applyBorder="1" applyAlignment="1">
      <alignment horizontal="center" vertical="center" wrapText="1"/>
    </xf>
    <xf numFmtId="2" fontId="13" fillId="34" borderId="29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184" fontId="14" fillId="34" borderId="0" xfId="0" applyNumberFormat="1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4" fillId="34" borderId="32" xfId="0" applyFont="1" applyFill="1" applyBorder="1" applyAlignment="1">
      <alignment vertical="center"/>
    </xf>
    <xf numFmtId="0" fontId="8" fillId="0" borderId="0" xfId="0" applyFont="1" applyAlignment="1">
      <alignment vertical="distributed" wrapText="1" shrinkToFit="1" readingOrder="1"/>
    </xf>
    <xf numFmtId="0" fontId="6" fillId="0" borderId="0" xfId="0" applyFont="1" applyAlignment="1">
      <alignment horizontal="center" vertical="distributed" wrapText="1" shrinkToFit="1" readingOrder="1"/>
    </xf>
    <xf numFmtId="0" fontId="9" fillId="14" borderId="46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4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180" fontId="9" fillId="0" borderId="9" xfId="0" applyNumberFormat="1" applyFont="1" applyBorder="1" applyAlignment="1">
      <alignment horizontal="center" vertical="center" wrapText="1"/>
    </xf>
    <xf numFmtId="180" fontId="9" fillId="0" borderId="4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1" fillId="0" borderId="9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/>
    </xf>
    <xf numFmtId="0" fontId="22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justify" vertical="center"/>
    </xf>
    <xf numFmtId="0" fontId="9" fillId="14" borderId="46" xfId="0" applyFont="1" applyFill="1" applyBorder="1" applyAlignment="1">
      <alignment horizontal="center"/>
    </xf>
    <xf numFmtId="0" fontId="9" fillId="14" borderId="11" xfId="0" applyFont="1" applyFill="1" applyBorder="1" applyAlignment="1">
      <alignment horizontal="center"/>
    </xf>
    <xf numFmtId="0" fontId="9" fillId="14" borderId="12" xfId="0" applyFont="1" applyFill="1" applyBorder="1" applyAlignment="1">
      <alignment horizontal="center"/>
    </xf>
    <xf numFmtId="0" fontId="9" fillId="14" borderId="9" xfId="0" applyFont="1" applyFill="1" applyBorder="1" applyAlignment="1">
      <alignment/>
    </xf>
    <xf numFmtId="180" fontId="9" fillId="14" borderId="9" xfId="0" applyNumberFormat="1" applyFont="1" applyFill="1" applyBorder="1" applyAlignment="1">
      <alignment/>
    </xf>
    <xf numFmtId="180" fontId="0" fillId="0" borderId="47" xfId="0" applyNumberFormat="1" applyBorder="1" applyAlignment="1">
      <alignment horizontal="center" vertical="center"/>
    </xf>
    <xf numFmtId="0" fontId="9" fillId="14" borderId="46" xfId="0" applyFont="1" applyFill="1" applyBorder="1" applyAlignment="1">
      <alignment horizontal="center" wrapText="1"/>
    </xf>
    <xf numFmtId="0" fontId="9" fillId="14" borderId="11" xfId="0" applyFont="1" applyFill="1" applyBorder="1" applyAlignment="1">
      <alignment horizontal="center" wrapText="1"/>
    </xf>
    <xf numFmtId="0" fontId="9" fillId="14" borderId="12" xfId="0" applyFont="1" applyFill="1" applyBorder="1" applyAlignment="1">
      <alignment horizontal="center" wrapText="1"/>
    </xf>
    <xf numFmtId="0" fontId="9" fillId="14" borderId="9" xfId="0" applyFont="1" applyFill="1" applyBorder="1" applyAlignment="1">
      <alignment wrapText="1"/>
    </xf>
    <xf numFmtId="180" fontId="9" fillId="14" borderId="9" xfId="0" applyNumberFormat="1" applyFont="1" applyFill="1" applyBorder="1" applyAlignment="1">
      <alignment wrapText="1"/>
    </xf>
    <xf numFmtId="0" fontId="23" fillId="39" borderId="48" xfId="31" applyFont="1" applyFill="1" applyBorder="1" applyAlignment="1">
      <alignment horizontal="center" vertical="center" wrapText="1"/>
      <protection/>
    </xf>
    <xf numFmtId="0" fontId="24" fillId="0" borderId="49" xfId="31" applyFont="1" applyBorder="1">
      <alignment/>
      <protection/>
    </xf>
    <xf numFmtId="0" fontId="24" fillId="0" borderId="50" xfId="31" applyFont="1" applyBorder="1">
      <alignment/>
      <protection/>
    </xf>
    <xf numFmtId="0" fontId="23" fillId="0" borderId="51" xfId="31" applyFont="1" applyBorder="1" applyAlignment="1">
      <alignment horizontal="left" vertical="center" wrapText="1"/>
      <protection/>
    </xf>
    <xf numFmtId="0" fontId="25" fillId="0" borderId="52" xfId="31" applyFont="1" applyBorder="1" applyAlignment="1">
      <alignment/>
      <protection/>
    </xf>
    <xf numFmtId="0" fontId="24" fillId="0" borderId="53" xfId="31" applyFont="1" applyBorder="1">
      <alignment/>
      <protection/>
    </xf>
    <xf numFmtId="0" fontId="24" fillId="0" borderId="54" xfId="31" applyFont="1" applyBorder="1">
      <alignment/>
      <protection/>
    </xf>
    <xf numFmtId="0" fontId="24" fillId="0" borderId="55" xfId="31" applyFont="1" applyBorder="1">
      <alignment/>
      <protection/>
    </xf>
    <xf numFmtId="0" fontId="24" fillId="0" borderId="56" xfId="31" applyFont="1" applyBorder="1">
      <alignment/>
      <protection/>
    </xf>
    <xf numFmtId="0" fontId="26" fillId="40" borderId="57" xfId="31" applyFont="1" applyFill="1" applyBorder="1" applyAlignment="1">
      <alignment horizontal="center" vertical="center" wrapText="1"/>
      <protection/>
    </xf>
    <xf numFmtId="0" fontId="24" fillId="0" borderId="58" xfId="31" applyFont="1" applyBorder="1">
      <alignment/>
      <protection/>
    </xf>
    <xf numFmtId="0" fontId="24" fillId="0" borderId="59" xfId="31" applyFont="1" applyBorder="1">
      <alignment/>
      <protection/>
    </xf>
    <xf numFmtId="0" fontId="26" fillId="40" borderId="60" xfId="31" applyFont="1" applyFill="1" applyBorder="1" applyAlignment="1">
      <alignment horizontal="center" vertical="center" wrapText="1"/>
      <protection/>
    </xf>
    <xf numFmtId="0" fontId="26" fillId="40" borderId="61" xfId="31" applyFont="1" applyFill="1" applyBorder="1" applyAlignment="1">
      <alignment horizontal="center" vertical="center" wrapText="1"/>
      <protection/>
    </xf>
    <xf numFmtId="0" fontId="26" fillId="40" borderId="62" xfId="31" applyFont="1" applyFill="1" applyBorder="1" applyAlignment="1">
      <alignment horizontal="center" vertical="center" wrapText="1"/>
      <protection/>
    </xf>
    <xf numFmtId="0" fontId="27" fillId="0" borderId="60" xfId="31" applyFont="1" applyBorder="1" applyAlignment="1">
      <alignment horizontal="center" vertical="center" wrapText="1"/>
      <protection/>
    </xf>
    <xf numFmtId="0" fontId="28" fillId="0" borderId="61" xfId="31" applyFont="1" applyBorder="1" applyAlignment="1">
      <alignment vertical="center" wrapText="1"/>
      <protection/>
    </xf>
    <xf numFmtId="0" fontId="28" fillId="0" borderId="61" xfId="31" applyFont="1" applyBorder="1" applyAlignment="1">
      <alignment horizontal="center" vertical="center" wrapText="1"/>
      <protection/>
    </xf>
    <xf numFmtId="0" fontId="28" fillId="0" borderId="61" xfId="31" applyFont="1" applyBorder="1" applyAlignment="1">
      <alignment horizontal="center" vertical="center"/>
      <protection/>
    </xf>
    <xf numFmtId="180" fontId="28" fillId="0" borderId="61" xfId="31" applyNumberFormat="1" applyFont="1" applyBorder="1" applyAlignment="1">
      <alignment horizontal="center" vertical="center"/>
      <protection/>
    </xf>
    <xf numFmtId="180" fontId="28" fillId="0" borderId="62" xfId="31" applyNumberFormat="1" applyFont="1" applyBorder="1" applyAlignment="1">
      <alignment horizontal="center" vertical="center"/>
      <protection/>
    </xf>
    <xf numFmtId="0" fontId="28" fillId="0" borderId="60" xfId="31" applyFont="1" applyBorder="1" applyAlignment="1">
      <alignment horizontal="center" vertical="center"/>
      <protection/>
    </xf>
    <xf numFmtId="0" fontId="29" fillId="0" borderId="61" xfId="31" applyFont="1" applyBorder="1" applyAlignment="1">
      <alignment horizontal="left" vertical="center" wrapText="1"/>
      <protection/>
    </xf>
    <xf numFmtId="0" fontId="30" fillId="0" borderId="9" xfId="0" applyFont="1" applyBorder="1" applyAlignment="1">
      <alignment vertical="center" wrapText="1"/>
    </xf>
    <xf numFmtId="0" fontId="30" fillId="0" borderId="25" xfId="0" applyFont="1" applyBorder="1" applyAlignment="1">
      <alignment horizontal="left" vertical="center" wrapText="1"/>
    </xf>
    <xf numFmtId="0" fontId="27" fillId="0" borderId="63" xfId="31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left" vertical="center" wrapText="1"/>
    </xf>
    <xf numFmtId="0" fontId="28" fillId="0" borderId="64" xfId="31" applyFont="1" applyBorder="1" applyAlignment="1">
      <alignment horizontal="center" vertical="center" wrapText="1"/>
      <protection/>
    </xf>
    <xf numFmtId="0" fontId="28" fillId="0" borderId="64" xfId="31" applyFont="1" applyBorder="1" applyAlignment="1">
      <alignment horizontal="center" vertical="center"/>
      <protection/>
    </xf>
    <xf numFmtId="180" fontId="28" fillId="0" borderId="64" xfId="31" applyNumberFormat="1" applyFont="1" applyBorder="1" applyAlignment="1">
      <alignment horizontal="center" vertical="center"/>
      <protection/>
    </xf>
    <xf numFmtId="180" fontId="28" fillId="0" borderId="65" xfId="31" applyNumberFormat="1" applyFont="1" applyBorder="1" applyAlignment="1">
      <alignment horizontal="center" vertical="center"/>
      <protection/>
    </xf>
    <xf numFmtId="0" fontId="28" fillId="0" borderId="17" xfId="31" applyFont="1" applyBorder="1" applyAlignment="1">
      <alignment horizontal="center" vertical="center"/>
      <protection/>
    </xf>
    <xf numFmtId="0" fontId="28" fillId="0" borderId="9" xfId="31" applyFont="1" applyBorder="1" applyAlignment="1">
      <alignment horizontal="left" vertical="center" wrapText="1"/>
      <protection/>
    </xf>
    <xf numFmtId="0" fontId="28" fillId="0" borderId="9" xfId="31" applyFont="1" applyBorder="1" applyAlignment="1">
      <alignment horizontal="center" vertical="center" wrapText="1"/>
      <protection/>
    </xf>
    <xf numFmtId="0" fontId="28" fillId="0" borderId="9" xfId="31" applyFont="1" applyBorder="1" applyAlignment="1">
      <alignment horizontal="center" vertical="center"/>
      <protection/>
    </xf>
    <xf numFmtId="180" fontId="28" fillId="0" borderId="9" xfId="31" applyNumberFormat="1" applyFont="1" applyBorder="1" applyAlignment="1">
      <alignment horizontal="center" vertical="center"/>
      <protection/>
    </xf>
    <xf numFmtId="180" fontId="28" fillId="0" borderId="47" xfId="31" applyNumberFormat="1" applyFont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 wrapText="1"/>
    </xf>
    <xf numFmtId="0" fontId="26" fillId="40" borderId="66" xfId="31" applyFont="1" applyFill="1" applyBorder="1" applyAlignment="1">
      <alignment horizontal="center" vertical="center"/>
      <protection/>
    </xf>
    <xf numFmtId="0" fontId="24" fillId="0" borderId="67" xfId="31" applyFont="1" applyBorder="1">
      <alignment/>
      <protection/>
    </xf>
    <xf numFmtId="0" fontId="24" fillId="0" borderId="68" xfId="31" applyFont="1" applyBorder="1">
      <alignment/>
      <protection/>
    </xf>
    <xf numFmtId="180" fontId="26" fillId="40" borderId="62" xfId="31" applyNumberFormat="1" applyFont="1" applyFill="1" applyBorder="1" applyAlignment="1">
      <alignment horizontal="center" vertical="center"/>
      <protection/>
    </xf>
    <xf numFmtId="9" fontId="0" fillId="0" borderId="0" xfId="21" applyFont="1"/>
    <xf numFmtId="180" fontId="26" fillId="40" borderId="65" xfId="31" applyNumberFormat="1" applyFont="1" applyFill="1" applyBorder="1" applyAlignment="1">
      <alignment horizontal="center" vertical="center"/>
      <protection/>
    </xf>
    <xf numFmtId="180" fontId="0" fillId="0" borderId="0" xfId="0" applyNumberFormat="1"/>
    <xf numFmtId="0" fontId="26" fillId="40" borderId="69" xfId="31" applyFont="1" applyFill="1" applyBorder="1" applyAlignment="1">
      <alignment horizontal="center" vertical="center"/>
      <protection/>
    </xf>
    <xf numFmtId="0" fontId="24" fillId="0" borderId="70" xfId="31" applyFont="1" applyBorder="1">
      <alignment/>
      <protection/>
    </xf>
    <xf numFmtId="0" fontId="24" fillId="0" borderId="71" xfId="31" applyFont="1" applyBorder="1">
      <alignment/>
      <protection/>
    </xf>
    <xf numFmtId="180" fontId="26" fillId="40" borderId="72" xfId="31" applyNumberFormat="1" applyFont="1" applyFill="1" applyBorder="1" applyAlignment="1">
      <alignment horizontal="center" vertical="center"/>
      <protection/>
    </xf>
    <xf numFmtId="0" fontId="26" fillId="41" borderId="0" xfId="31" applyFont="1" applyFill="1" applyBorder="1" applyAlignment="1">
      <alignment horizontal="center" vertical="center" wrapText="1"/>
      <protection/>
    </xf>
    <xf numFmtId="0" fontId="24" fillId="0" borderId="0" xfId="31" applyFont="1" applyBorder="1">
      <alignment/>
      <protection/>
    </xf>
    <xf numFmtId="0" fontId="32" fillId="40" borderId="73" xfId="31" applyFont="1" applyFill="1" applyBorder="1" applyAlignment="1">
      <alignment horizontal="center"/>
      <protection/>
    </xf>
    <xf numFmtId="0" fontId="24" fillId="0" borderId="74" xfId="31" applyFont="1" applyBorder="1">
      <alignment/>
      <protection/>
    </xf>
    <xf numFmtId="0" fontId="32" fillId="40" borderId="75" xfId="31" applyFont="1" applyFill="1" applyBorder="1" applyAlignment="1">
      <alignment horizontal="center" vertical="center"/>
      <protection/>
    </xf>
    <xf numFmtId="0" fontId="32" fillId="40" borderId="64" xfId="31" applyFont="1" applyFill="1" applyBorder="1" applyAlignment="1">
      <alignment horizontal="center" vertical="center" wrapText="1"/>
      <protection/>
    </xf>
    <xf numFmtId="0" fontId="32" fillId="40" borderId="64" xfId="31" applyFont="1" applyFill="1" applyBorder="1" applyAlignment="1">
      <alignment horizontal="center" vertical="top" wrapText="1"/>
      <protection/>
    </xf>
    <xf numFmtId="0" fontId="32" fillId="40" borderId="76" xfId="31" applyFont="1" applyFill="1" applyBorder="1" applyAlignment="1">
      <alignment horizontal="center" vertical="center" wrapText="1"/>
      <protection/>
    </xf>
    <xf numFmtId="0" fontId="24" fillId="0" borderId="77" xfId="31" applyFont="1" applyBorder="1">
      <alignment/>
      <protection/>
    </xf>
    <xf numFmtId="0" fontId="24" fillId="0" borderId="78" xfId="31" applyFont="1" applyBorder="1">
      <alignment/>
      <protection/>
    </xf>
    <xf numFmtId="0" fontId="24" fillId="0" borderId="79" xfId="31" applyFont="1" applyBorder="1">
      <alignment/>
      <protection/>
    </xf>
    <xf numFmtId="0" fontId="33" fillId="0" borderId="80" xfId="31" applyFont="1" applyBorder="1" applyAlignment="1">
      <alignment horizontal="center" vertical="center"/>
      <protection/>
    </xf>
    <xf numFmtId="0" fontId="33" fillId="0" borderId="61" xfId="31" applyFont="1" applyBorder="1" applyAlignment="1">
      <alignment vertical="center" wrapText="1"/>
      <protection/>
    </xf>
    <xf numFmtId="3" fontId="33" fillId="0" borderId="61" xfId="31" applyNumberFormat="1" applyFont="1" applyBorder="1" applyAlignment="1">
      <alignment horizontal="center" vertical="center" wrapText="1"/>
      <protection/>
    </xf>
    <xf numFmtId="0" fontId="34" fillId="0" borderId="61" xfId="31" applyFont="1" applyBorder="1" applyAlignment="1">
      <alignment vertical="center" wrapText="1"/>
      <protection/>
    </xf>
    <xf numFmtId="3" fontId="33" fillId="0" borderId="61" xfId="31" applyNumberFormat="1" applyFont="1" applyBorder="1" applyAlignment="1">
      <alignment horizontal="center" vertical="center"/>
      <protection/>
    </xf>
    <xf numFmtId="180" fontId="33" fillId="0" borderId="81" xfId="31" applyNumberFormat="1" applyFont="1" applyBorder="1" applyAlignment="1">
      <alignment vertical="center"/>
      <protection/>
    </xf>
    <xf numFmtId="0" fontId="32" fillId="40" borderId="82" xfId="31" applyFont="1" applyFill="1" applyBorder="1" applyAlignment="1">
      <alignment horizontal="center" vertical="center" wrapText="1"/>
      <protection/>
    </xf>
    <xf numFmtId="0" fontId="24" fillId="0" borderId="83" xfId="31" applyFont="1" applyBorder="1">
      <alignment/>
      <protection/>
    </xf>
    <xf numFmtId="0" fontId="24" fillId="0" borderId="84" xfId="31" applyFont="1" applyBorder="1">
      <alignment/>
      <protection/>
    </xf>
    <xf numFmtId="0" fontId="32" fillId="40" borderId="61" xfId="31" applyFont="1" applyFill="1" applyBorder="1" applyAlignment="1">
      <alignment horizontal="center" vertical="center"/>
      <protection/>
    </xf>
    <xf numFmtId="0" fontId="32" fillId="40" borderId="81" xfId="31" applyFont="1" applyFill="1" applyBorder="1" applyAlignment="1">
      <alignment horizontal="center" vertical="center"/>
      <protection/>
    </xf>
    <xf numFmtId="0" fontId="24" fillId="0" borderId="85" xfId="31" applyFont="1" applyBorder="1">
      <alignment/>
      <protection/>
    </xf>
    <xf numFmtId="0" fontId="24" fillId="0" borderId="86" xfId="31" applyFont="1" applyBorder="1">
      <alignment/>
      <protection/>
    </xf>
    <xf numFmtId="0" fontId="24" fillId="0" borderId="87" xfId="31" applyFont="1" applyBorder="1">
      <alignment/>
      <protection/>
    </xf>
    <xf numFmtId="180" fontId="33" fillId="0" borderId="61" xfId="31" applyNumberFormat="1" applyFont="1" applyBorder="1" applyAlignment="1">
      <alignment horizontal="center" vertical="center"/>
      <protection/>
    </xf>
    <xf numFmtId="180" fontId="33" fillId="0" borderId="81" xfId="31" applyNumberFormat="1" applyFont="1" applyBorder="1" applyAlignment="1">
      <alignment horizontal="center" vertical="center"/>
      <protection/>
    </xf>
    <xf numFmtId="0" fontId="26" fillId="40" borderId="88" xfId="31" applyFont="1" applyFill="1" applyBorder="1" applyAlignment="1">
      <alignment horizontal="center" vertical="center"/>
      <protection/>
    </xf>
    <xf numFmtId="180" fontId="26" fillId="40" borderId="81" xfId="31" applyNumberFormat="1" applyFont="1" applyFill="1" applyBorder="1" applyAlignment="1">
      <alignment horizontal="center" vertical="center"/>
      <protection/>
    </xf>
    <xf numFmtId="0" fontId="26" fillId="40" borderId="82" xfId="31" applyFont="1" applyFill="1" applyBorder="1" applyAlignment="1">
      <alignment horizontal="center" vertical="center"/>
      <protection/>
    </xf>
    <xf numFmtId="180" fontId="26" fillId="40" borderId="76" xfId="31" applyNumberFormat="1" applyFont="1" applyFill="1" applyBorder="1" applyAlignment="1">
      <alignment horizontal="center" vertical="center"/>
      <protection/>
    </xf>
    <xf numFmtId="0" fontId="28" fillId="0" borderId="73" xfId="31" applyFont="1" applyBorder="1" applyAlignment="1">
      <alignment horizontal="left" vertical="top" wrapText="1"/>
      <protection/>
    </xf>
    <xf numFmtId="0" fontId="35" fillId="0" borderId="89" xfId="31" applyFont="1" applyBorder="1" applyAlignment="1">
      <alignment horizontal="center" vertical="center" wrapText="1"/>
      <protection/>
    </xf>
    <xf numFmtId="0" fontId="24" fillId="0" borderId="90" xfId="31" applyFont="1" applyBorder="1">
      <alignment/>
      <protection/>
    </xf>
    <xf numFmtId="0" fontId="24" fillId="0" borderId="91" xfId="31" applyFont="1" applyBorder="1">
      <alignment/>
      <protection/>
    </xf>
    <xf numFmtId="0" fontId="36" fillId="14" borderId="9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justify" vertical="top" wrapText="1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179" fontId="30" fillId="0" borderId="9" xfId="52" applyFont="1" applyBorder="1" applyAlignment="1">
      <alignment horizontal="right" vertical="center"/>
    </xf>
    <xf numFmtId="179" fontId="30" fillId="0" borderId="9" xfId="52" applyFont="1" applyBorder="1" applyAlignment="1">
      <alignment vertical="center"/>
    </xf>
    <xf numFmtId="0" fontId="9" fillId="30" borderId="92" xfId="0" applyFont="1" applyFill="1" applyBorder="1" applyAlignment="1">
      <alignment horizontal="center" vertical="center"/>
    </xf>
    <xf numFmtId="0" fontId="9" fillId="30" borderId="92" xfId="0" applyFont="1" applyFill="1" applyBorder="1" applyAlignment="1">
      <alignment horizontal="center" vertical="center" wrapText="1"/>
    </xf>
    <xf numFmtId="0" fontId="9" fillId="30" borderId="16" xfId="0" applyFont="1" applyFill="1" applyBorder="1" applyAlignment="1">
      <alignment horizontal="center" vertical="center" wrapText="1"/>
    </xf>
    <xf numFmtId="0" fontId="9" fillId="30" borderId="93" xfId="0" applyFont="1" applyFill="1" applyBorder="1" applyAlignment="1">
      <alignment horizontal="center" vertical="center"/>
    </xf>
    <xf numFmtId="0" fontId="9" fillId="30" borderId="94" xfId="0" applyFont="1" applyFill="1" applyBorder="1" applyAlignment="1">
      <alignment horizontal="center" vertical="center" wrapText="1"/>
    </xf>
    <xf numFmtId="0" fontId="9" fillId="30" borderId="95" xfId="0" applyFont="1" applyFill="1" applyBorder="1" applyAlignment="1">
      <alignment horizontal="center" vertical="center" wrapText="1"/>
    </xf>
    <xf numFmtId="0" fontId="30" fillId="0" borderId="96" xfId="0" applyFont="1" applyBorder="1"/>
    <xf numFmtId="0" fontId="30" fillId="0" borderId="97" xfId="0" applyFont="1" applyBorder="1" applyAlignment="1">
      <alignment horizontal="center"/>
    </xf>
    <xf numFmtId="0" fontId="30" fillId="0" borderId="98" xfId="0" applyFont="1" applyBorder="1" applyAlignment="1">
      <alignment horizontal="center"/>
    </xf>
    <xf numFmtId="0" fontId="30" fillId="0" borderId="17" xfId="0" applyFont="1" applyBorder="1"/>
    <xf numFmtId="0" fontId="30" fillId="0" borderId="9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0" fillId="0" borderId="99" xfId="0" applyFont="1" applyBorder="1" applyAlignment="1">
      <alignment horizontal="left" vertical="center"/>
    </xf>
    <xf numFmtId="0" fontId="30" fillId="0" borderId="100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102" xfId="0" applyFont="1" applyBorder="1" applyAlignment="1">
      <alignment horizontal="left" vertical="center"/>
    </xf>
    <xf numFmtId="0" fontId="30" fillId="0" borderId="103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/>
    </xf>
    <xf numFmtId="0" fontId="30" fillId="0" borderId="96" xfId="0" applyFont="1" applyBorder="1" applyAlignment="1">
      <alignment horizontal="left" vertical="center"/>
    </xf>
    <xf numFmtId="0" fontId="30" fillId="0" borderId="97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30" fillId="0" borderId="99" xfId="0" applyFont="1" applyBorder="1" applyAlignment="1">
      <alignment horizontal="left"/>
    </xf>
    <xf numFmtId="0" fontId="30" fillId="0" borderId="100" xfId="0" applyFont="1" applyBorder="1" applyAlignment="1">
      <alignment horizontal="center"/>
    </xf>
    <xf numFmtId="0" fontId="30" fillId="0" borderId="101" xfId="0" applyFont="1" applyBorder="1" applyAlignment="1">
      <alignment horizontal="center"/>
    </xf>
    <xf numFmtId="0" fontId="30" fillId="0" borderId="96" xfId="0" applyFont="1" applyBorder="1" applyAlignment="1">
      <alignment horizontal="left"/>
    </xf>
    <xf numFmtId="0" fontId="29" fillId="0" borderId="80" xfId="31" applyFont="1" applyBorder="1">
      <alignment/>
      <protection/>
    </xf>
    <xf numFmtId="0" fontId="29" fillId="0" borderId="61" xfId="31" applyFont="1" applyBorder="1" applyAlignment="1">
      <alignment horizontal="center"/>
      <protection/>
    </xf>
    <xf numFmtId="0" fontId="29" fillId="0" borderId="81" xfId="31" applyFont="1" applyBorder="1" applyAlignment="1">
      <alignment horizontal="center"/>
      <protection/>
    </xf>
    <xf numFmtId="0" fontId="6" fillId="14" borderId="19" xfId="0" applyFont="1" applyFill="1" applyBorder="1" applyAlignment="1">
      <alignment horizontal="left" indent="1"/>
    </xf>
    <xf numFmtId="0" fontId="6" fillId="14" borderId="105" xfId="0" applyFont="1" applyFill="1" applyBorder="1" applyAlignment="1">
      <alignment horizontal="center"/>
    </xf>
    <xf numFmtId="0" fontId="6" fillId="14" borderId="106" xfId="0" applyFont="1" applyFill="1" applyBorder="1" applyAlignment="1">
      <alignment horizontal="center"/>
    </xf>
    <xf numFmtId="0" fontId="26" fillId="0" borderId="0" xfId="31" applyFont="1" applyAlignment="1">
      <alignment horizontal="center" wrapText="1"/>
      <protection/>
    </xf>
    <xf numFmtId="0" fontId="25" fillId="0" borderId="0" xfId="31" applyFont="1" applyAlignment="1">
      <alignment wrapText="1"/>
      <protection/>
    </xf>
    <xf numFmtId="0" fontId="26" fillId="40" borderId="107" xfId="31" applyFont="1" applyFill="1" applyBorder="1" applyAlignment="1">
      <alignment horizontal="center" vertical="center" wrapText="1"/>
      <protection/>
    </xf>
    <xf numFmtId="0" fontId="37" fillId="40" borderId="108" xfId="31" applyFont="1" applyFill="1" applyBorder="1" applyAlignment="1">
      <alignment horizontal="center" vertical="center" wrapText="1"/>
      <protection/>
    </xf>
    <xf numFmtId="0" fontId="26" fillId="40" borderId="108" xfId="31" applyFont="1" applyFill="1" applyBorder="1" applyAlignment="1">
      <alignment horizontal="center" vertical="center" wrapText="1"/>
      <protection/>
    </xf>
    <xf numFmtId="0" fontId="26" fillId="40" borderId="109" xfId="31" applyFont="1" applyFill="1" applyBorder="1" applyAlignment="1">
      <alignment horizontal="center"/>
      <protection/>
    </xf>
    <xf numFmtId="0" fontId="26" fillId="40" borderId="61" xfId="31" applyFont="1" applyFill="1" applyBorder="1" applyAlignment="1">
      <alignment horizontal="center"/>
      <protection/>
    </xf>
    <xf numFmtId="0" fontId="26" fillId="40" borderId="81" xfId="31" applyFont="1" applyFill="1" applyBorder="1" applyAlignment="1">
      <alignment horizontal="center"/>
      <protection/>
    </xf>
    <xf numFmtId="0" fontId="27" fillId="0" borderId="80" xfId="31" applyFont="1" applyBorder="1" applyAlignment="1">
      <alignment horizontal="center" vertical="center" wrapText="1"/>
      <protection/>
    </xf>
    <xf numFmtId="0" fontId="27" fillId="0" borderId="61" xfId="31" applyFont="1" applyBorder="1" applyAlignment="1">
      <alignment horizontal="left" vertical="top" wrapText="1"/>
      <protection/>
    </xf>
    <xf numFmtId="178" fontId="28" fillId="0" borderId="61" xfId="31" applyNumberFormat="1" applyFont="1" applyBorder="1" applyAlignment="1">
      <alignment horizontal="right" vertical="center"/>
      <protection/>
    </xf>
    <xf numFmtId="178" fontId="28" fillId="0" borderId="81" xfId="31" applyNumberFormat="1" applyFont="1" applyBorder="1" applyAlignment="1">
      <alignment vertical="center"/>
      <protection/>
    </xf>
    <xf numFmtId="0" fontId="27" fillId="0" borderId="88" xfId="31" applyFont="1" applyBorder="1" applyAlignment="1">
      <alignment horizontal="center" vertical="center" wrapText="1"/>
      <protection/>
    </xf>
    <xf numFmtId="0" fontId="28" fillId="0" borderId="67" xfId="31" applyFont="1" applyBorder="1" applyAlignment="1">
      <alignment horizontal="center" vertical="center"/>
      <protection/>
    </xf>
    <xf numFmtId="0" fontId="28" fillId="0" borderId="67" xfId="31" applyFont="1" applyBorder="1" applyAlignment="1">
      <alignment horizontal="center" vertical="center" wrapText="1"/>
      <protection/>
    </xf>
    <xf numFmtId="180" fontId="28" fillId="0" borderId="81" xfId="31" applyNumberFormat="1" applyFont="1" applyBorder="1" applyAlignment="1">
      <alignment horizontal="center" vertical="center"/>
      <protection/>
    </xf>
    <xf numFmtId="180" fontId="38" fillId="0" borderId="88" xfId="31" applyNumberFormat="1" applyFont="1" applyBorder="1" applyAlignment="1">
      <alignment horizontal="center" wrapText="1"/>
      <protection/>
    </xf>
    <xf numFmtId="178" fontId="38" fillId="0" borderId="81" xfId="31" applyNumberFormat="1" applyFont="1" applyBorder="1" applyAlignment="1">
      <alignment horizontal="center" wrapText="1"/>
      <protection/>
    </xf>
    <xf numFmtId="180" fontId="38" fillId="42" borderId="88" xfId="31" applyNumberFormat="1" applyFont="1" applyFill="1" applyBorder="1" applyAlignment="1">
      <alignment horizontal="center" wrapText="1"/>
      <protection/>
    </xf>
    <xf numFmtId="0" fontId="24" fillId="37" borderId="67" xfId="31" applyFont="1" applyFill="1" applyBorder="1">
      <alignment/>
      <protection/>
    </xf>
    <xf numFmtId="0" fontId="24" fillId="37" borderId="68" xfId="31" applyFont="1" applyFill="1" applyBorder="1">
      <alignment/>
      <protection/>
    </xf>
    <xf numFmtId="180" fontId="38" fillId="0" borderId="81" xfId="31" applyNumberFormat="1" applyFont="1" applyBorder="1" applyAlignment="1">
      <alignment horizontal="center" wrapText="1"/>
      <protection/>
    </xf>
    <xf numFmtId="0" fontId="38" fillId="0" borderId="89" xfId="31" applyFont="1" applyBorder="1" applyAlignment="1">
      <alignment horizontal="center" vertical="center" wrapText="1"/>
      <protection/>
    </xf>
    <xf numFmtId="0" fontId="24" fillId="0" borderId="110" xfId="31" applyFont="1" applyBorder="1">
      <alignment/>
      <protection/>
    </xf>
    <xf numFmtId="180" fontId="38" fillId="0" borderId="111" xfId="31" applyNumberFormat="1" applyFont="1" applyBorder="1" applyAlignment="1">
      <alignment horizontal="center" vertical="center" wrapText="1"/>
      <protection/>
    </xf>
    <xf numFmtId="0" fontId="38" fillId="0" borderId="49" xfId="31" applyFont="1" applyBorder="1" applyAlignment="1">
      <alignment horizontal="center" vertical="center" wrapText="1"/>
      <protection/>
    </xf>
    <xf numFmtId="0" fontId="26" fillId="0" borderId="0" xfId="31" applyFont="1" applyAlignment="1">
      <alignment horizontal="center"/>
      <protection/>
    </xf>
    <xf numFmtId="0" fontId="25" fillId="0" borderId="0" xfId="31" applyFont="1" applyAlignment="1">
      <alignment/>
      <protection/>
    </xf>
    <xf numFmtId="0" fontId="39" fillId="0" borderId="0" xfId="31" applyFont="1" applyBorder="1" applyAlignment="1">
      <alignment horizontal="center" vertical="center" wrapText="1"/>
      <protection/>
    </xf>
    <xf numFmtId="180" fontId="39" fillId="0" borderId="0" xfId="31" applyNumberFormat="1" applyFont="1" applyBorder="1" applyAlignment="1">
      <alignment horizontal="center" vertical="center" wrapText="1"/>
      <protection/>
    </xf>
    <xf numFmtId="0" fontId="26" fillId="43" borderId="48" xfId="31" applyFont="1" applyFill="1" applyBorder="1" applyAlignment="1">
      <alignment horizontal="center" vertical="center"/>
      <protection/>
    </xf>
    <xf numFmtId="0" fontId="26" fillId="43" borderId="73" xfId="31" applyFont="1" applyFill="1" applyBorder="1" applyAlignment="1">
      <alignment horizontal="center" vertical="center" wrapText="1"/>
      <protection/>
    </xf>
    <xf numFmtId="0" fontId="24" fillId="0" borderId="112" xfId="31" applyFont="1" applyBorder="1">
      <alignment/>
      <protection/>
    </xf>
    <xf numFmtId="0" fontId="26" fillId="43" borderId="113" xfId="31" applyFont="1" applyFill="1" applyBorder="1" applyAlignment="1">
      <alignment horizontal="center" vertical="center" wrapText="1"/>
      <protection/>
    </xf>
    <xf numFmtId="0" fontId="26" fillId="43" borderId="114" xfId="31" applyFont="1" applyFill="1" applyBorder="1" applyAlignment="1">
      <alignment horizontal="center" vertical="center" wrapText="1"/>
      <protection/>
    </xf>
    <xf numFmtId="0" fontId="28" fillId="0" borderId="0" xfId="31" applyFont="1">
      <alignment/>
      <protection/>
    </xf>
    <xf numFmtId="0" fontId="29" fillId="0" borderId="77" xfId="31" applyFont="1" applyBorder="1">
      <alignment/>
      <protection/>
    </xf>
    <xf numFmtId="0" fontId="29" fillId="0" borderId="78" xfId="31" applyFont="1" applyBorder="1" applyAlignment="1">
      <alignment horizontal="center"/>
      <protection/>
    </xf>
    <xf numFmtId="0" fontId="29" fillId="0" borderId="79" xfId="31" applyFont="1" applyBorder="1" applyAlignment="1">
      <alignment horizontal="center"/>
      <protection/>
    </xf>
    <xf numFmtId="0" fontId="38" fillId="0" borderId="61" xfId="31" applyFont="1" applyBorder="1" applyAlignment="1">
      <alignment horizontal="center"/>
      <protection/>
    </xf>
    <xf numFmtId="0" fontId="38" fillId="0" borderId="81" xfId="31" applyFont="1" applyBorder="1" applyAlignment="1">
      <alignment horizontal="center"/>
      <protection/>
    </xf>
    <xf numFmtId="0" fontId="29" fillId="0" borderId="75" xfId="31" applyFont="1" applyBorder="1" applyAlignment="1">
      <alignment horizontal="left" vertical="center"/>
      <protection/>
    </xf>
    <xf numFmtId="0" fontId="29" fillId="0" borderId="64" xfId="31" applyFont="1" applyBorder="1" applyAlignment="1">
      <alignment horizontal="center" vertical="center"/>
      <protection/>
    </xf>
    <xf numFmtId="0" fontId="29" fillId="0" borderId="76" xfId="31" applyFont="1" applyBorder="1" applyAlignment="1">
      <alignment horizontal="center" vertical="center"/>
      <protection/>
    </xf>
    <xf numFmtId="0" fontId="24" fillId="0" borderId="115" xfId="31" applyFont="1" applyBorder="1">
      <alignment/>
      <protection/>
    </xf>
    <xf numFmtId="0" fontId="24" fillId="0" borderId="116" xfId="31" applyFont="1" applyBorder="1">
      <alignment/>
      <protection/>
    </xf>
    <xf numFmtId="0" fontId="24" fillId="0" borderId="117" xfId="31" applyFont="1" applyBorder="1">
      <alignment/>
      <protection/>
    </xf>
    <xf numFmtId="0" fontId="29" fillId="0" borderId="75" xfId="31" applyFont="1" applyBorder="1" applyAlignment="1">
      <alignment horizontal="left"/>
      <protection/>
    </xf>
    <xf numFmtId="0" fontId="29" fillId="0" borderId="64" xfId="31" applyFont="1" applyBorder="1" applyAlignment="1">
      <alignment horizontal="center"/>
      <protection/>
    </xf>
    <xf numFmtId="0" fontId="29" fillId="0" borderId="76" xfId="31" applyFont="1" applyBorder="1" applyAlignment="1">
      <alignment horizontal="center"/>
      <protection/>
    </xf>
    <xf numFmtId="0" fontId="26" fillId="40" borderId="118" xfId="31" applyFont="1" applyFill="1" applyBorder="1" applyAlignment="1">
      <alignment horizontal="left"/>
      <protection/>
    </xf>
    <xf numFmtId="0" fontId="26" fillId="40" borderId="119" xfId="31" applyFont="1" applyFill="1" applyBorder="1" applyAlignment="1">
      <alignment horizontal="center"/>
      <protection/>
    </xf>
    <xf numFmtId="0" fontId="26" fillId="40" borderId="111" xfId="31" applyFont="1" applyFill="1" applyBorder="1" applyAlignment="1">
      <alignment horizontal="center"/>
      <protection/>
    </xf>
    <xf numFmtId="0" fontId="40" fillId="44" borderId="120" xfId="69" applyFont="1" applyFill="1" applyBorder="1" applyAlignment="1">
      <alignment horizontal="center" vertical="center" wrapText="1"/>
      <protection/>
    </xf>
    <xf numFmtId="0" fontId="40" fillId="44" borderId="121" xfId="69" applyFont="1" applyFill="1" applyBorder="1" applyAlignment="1">
      <alignment horizontal="center" vertical="center" wrapText="1"/>
      <protection/>
    </xf>
    <xf numFmtId="0" fontId="40" fillId="44" borderId="122" xfId="69" applyFont="1" applyFill="1" applyBorder="1" applyAlignment="1">
      <alignment horizontal="center" vertical="center" wrapText="1"/>
      <protection/>
    </xf>
    <xf numFmtId="0" fontId="40" fillId="44" borderId="123" xfId="69" applyFont="1" applyFill="1" applyBorder="1" applyAlignment="1">
      <alignment horizontal="center" vertical="center" wrapText="1"/>
      <protection/>
    </xf>
    <xf numFmtId="0" fontId="41" fillId="45" borderId="124" xfId="69" applyFont="1" applyFill="1" applyBorder="1" applyAlignment="1">
      <alignment horizontal="center" vertical="center" textRotation="90" wrapText="1"/>
      <protection/>
    </xf>
    <xf numFmtId="0" fontId="42" fillId="0" borderId="107" xfId="69" applyFont="1" applyBorder="1" applyAlignment="1">
      <alignment horizontal="center" vertical="center" wrapText="1"/>
      <protection/>
    </xf>
    <xf numFmtId="0" fontId="42" fillId="0" borderId="125" xfId="69" applyFont="1" applyBorder="1" applyAlignment="1">
      <alignment horizontal="center" vertical="center" wrapText="1"/>
      <protection/>
    </xf>
    <xf numFmtId="0" fontId="42" fillId="0" borderId="126" xfId="69" applyFont="1" applyBorder="1" applyAlignment="1">
      <alignment horizontal="center" vertical="center" wrapText="1"/>
      <protection/>
    </xf>
    <xf numFmtId="0" fontId="42" fillId="0" borderId="127" xfId="69" applyFont="1" applyBorder="1" applyAlignment="1">
      <alignment horizontal="center" vertical="center" wrapText="1"/>
      <protection/>
    </xf>
    <xf numFmtId="0" fontId="41" fillId="45" borderId="128" xfId="69" applyFont="1" applyFill="1" applyBorder="1" applyAlignment="1">
      <alignment horizontal="center" vertical="center" textRotation="90" wrapText="1"/>
      <protection/>
    </xf>
    <xf numFmtId="0" fontId="42" fillId="0" borderId="77" xfId="69" applyFont="1" applyBorder="1" applyAlignment="1">
      <alignment horizontal="center" vertical="center" wrapText="1"/>
      <protection/>
    </xf>
    <xf numFmtId="0" fontId="42" fillId="0" borderId="78" xfId="69" applyFont="1" applyBorder="1" applyAlignment="1">
      <alignment horizontal="center" vertical="center" wrapText="1"/>
      <protection/>
    </xf>
    <xf numFmtId="0" fontId="42" fillId="0" borderId="87" xfId="69" applyFont="1" applyBorder="1" applyAlignment="1">
      <alignment horizontal="center" vertical="center" wrapText="1"/>
      <protection/>
    </xf>
    <xf numFmtId="0" fontId="42" fillId="0" borderId="129" xfId="69" applyFont="1" applyBorder="1" applyAlignment="1">
      <alignment horizontal="center" vertical="center" wrapText="1"/>
      <protection/>
    </xf>
    <xf numFmtId="0" fontId="42" fillId="0" borderId="75" xfId="69" applyFont="1" applyBorder="1" applyAlignment="1">
      <alignment horizontal="center" vertical="center" wrapText="1"/>
      <protection/>
    </xf>
    <xf numFmtId="0" fontId="42" fillId="0" borderId="61" xfId="69" applyFont="1" applyBorder="1" applyAlignment="1">
      <alignment horizontal="center" vertical="center" wrapText="1"/>
      <protection/>
    </xf>
    <xf numFmtId="0" fontId="42" fillId="0" borderId="62" xfId="69" applyFont="1" applyBorder="1" applyAlignment="1">
      <alignment horizontal="center" vertical="center" wrapText="1"/>
      <protection/>
    </xf>
    <xf numFmtId="0" fontId="42" fillId="0" borderId="115" xfId="69" applyFont="1" applyBorder="1" applyAlignment="1">
      <alignment horizontal="center" vertical="center" wrapText="1"/>
      <protection/>
    </xf>
    <xf numFmtId="0" fontId="42" fillId="0" borderId="80" xfId="69" applyFont="1" applyBorder="1" applyAlignment="1">
      <alignment horizontal="center" vertical="center" wrapText="1"/>
      <protection/>
    </xf>
    <xf numFmtId="0" fontId="42" fillId="0" borderId="68" xfId="69" applyFont="1" applyBorder="1" applyAlignment="1">
      <alignment horizontal="center" vertical="center" wrapText="1"/>
      <protection/>
    </xf>
    <xf numFmtId="0" fontId="42" fillId="0" borderId="130" xfId="69" applyFont="1" applyBorder="1" applyAlignment="1">
      <alignment horizontal="center" vertical="center" wrapText="1"/>
      <protection/>
    </xf>
    <xf numFmtId="0" fontId="42" fillId="0" borderId="131" xfId="69" applyFont="1" applyBorder="1" applyAlignment="1">
      <alignment horizontal="center" vertical="center" wrapText="1"/>
      <protection/>
    </xf>
    <xf numFmtId="0" fontId="42" fillId="0" borderId="132" xfId="69" applyFont="1" applyBorder="1" applyAlignment="1">
      <alignment horizontal="center" vertical="center" wrapText="1"/>
      <protection/>
    </xf>
    <xf numFmtId="0" fontId="41" fillId="45" borderId="133" xfId="69" applyFont="1" applyFill="1" applyBorder="1" applyAlignment="1">
      <alignment horizontal="center" vertical="center" textRotation="90" wrapText="1"/>
      <protection/>
    </xf>
    <xf numFmtId="0" fontId="42" fillId="0" borderId="94" xfId="69" applyFont="1" applyFill="1" applyBorder="1" applyAlignment="1">
      <alignment horizontal="center" vertical="center" wrapText="1"/>
      <protection/>
    </xf>
    <xf numFmtId="0" fontId="42" fillId="0" borderId="134" xfId="69" applyFont="1" applyFill="1" applyBorder="1" applyAlignment="1">
      <alignment horizontal="center" vertical="center" wrapText="1"/>
      <protection/>
    </xf>
    <xf numFmtId="0" fontId="42" fillId="0" borderId="95" xfId="69" applyFont="1" applyFill="1" applyBorder="1" applyAlignment="1">
      <alignment horizontal="center" vertical="center" wrapText="1"/>
      <protection/>
    </xf>
    <xf numFmtId="0" fontId="43" fillId="46" borderId="135" xfId="69" applyFont="1" applyFill="1" applyBorder="1" applyAlignment="1">
      <alignment horizontal="center" vertical="center" textRotation="90" wrapText="1"/>
      <protection/>
    </xf>
    <xf numFmtId="0" fontId="44" fillId="0" borderId="136" xfId="69" applyFont="1" applyBorder="1" applyAlignment="1">
      <alignment horizontal="center" vertical="center" wrapText="1"/>
      <protection/>
    </xf>
    <xf numFmtId="0" fontId="44" fillId="0" borderId="137" xfId="69" applyFont="1" applyBorder="1" applyAlignment="1">
      <alignment horizontal="center" vertical="center" wrapText="1"/>
      <protection/>
    </xf>
    <xf numFmtId="0" fontId="42" fillId="0" borderId="137" xfId="69" applyFont="1" applyBorder="1" applyAlignment="1">
      <alignment horizontal="center" vertical="center" wrapText="1"/>
      <protection/>
    </xf>
    <xf numFmtId="0" fontId="42" fillId="0" borderId="138" xfId="69" applyFont="1" applyBorder="1" applyAlignment="1">
      <alignment horizontal="center" vertical="center" wrapText="1"/>
      <protection/>
    </xf>
    <xf numFmtId="0" fontId="43" fillId="46" borderId="139" xfId="69" applyFont="1" applyFill="1" applyBorder="1" applyAlignment="1">
      <alignment horizontal="center" vertical="center" textRotation="90" wrapText="1"/>
      <protection/>
    </xf>
    <xf numFmtId="0" fontId="44" fillId="0" borderId="140" xfId="69" applyFont="1" applyBorder="1" applyAlignment="1">
      <alignment horizontal="center" vertical="center" wrapText="1"/>
      <protection/>
    </xf>
    <xf numFmtId="0" fontId="44" fillId="0" borderId="61" xfId="69" applyFont="1" applyBorder="1" applyAlignment="1">
      <alignment horizontal="center" vertical="center" wrapText="1"/>
      <protection/>
    </xf>
    <xf numFmtId="0" fontId="44" fillId="0" borderId="68" xfId="69" applyFont="1" applyBorder="1" applyAlignment="1">
      <alignment horizontal="center" vertical="center" wrapText="1"/>
      <protection/>
    </xf>
    <xf numFmtId="0" fontId="44" fillId="0" borderId="87" xfId="69" applyFont="1" applyBorder="1" applyAlignment="1">
      <alignment horizontal="center" vertical="center" wrapText="1"/>
      <protection/>
    </xf>
    <xf numFmtId="0" fontId="44" fillId="0" borderId="84" xfId="69" applyFont="1" applyBorder="1" applyAlignment="1">
      <alignment horizontal="center" vertical="center" wrapText="1"/>
      <protection/>
    </xf>
    <xf numFmtId="0" fontId="44" fillId="0" borderId="78" xfId="69" applyFont="1" applyBorder="1" applyAlignment="1">
      <alignment horizontal="center" vertical="center" wrapText="1"/>
      <protection/>
    </xf>
    <xf numFmtId="0" fontId="44" fillId="0" borderId="141" xfId="69" applyFont="1" applyBorder="1" applyAlignment="1">
      <alignment horizontal="center" vertical="center" wrapText="1"/>
      <protection/>
    </xf>
    <xf numFmtId="0" fontId="44" fillId="0" borderId="131" xfId="69" applyFont="1" applyBorder="1" applyAlignment="1">
      <alignment horizontal="center" vertical="center" wrapText="1"/>
      <protection/>
    </xf>
    <xf numFmtId="0" fontId="44" fillId="0" borderId="142" xfId="69" applyFont="1" applyBorder="1" applyAlignment="1">
      <alignment horizontal="center" vertical="center" wrapText="1"/>
      <protection/>
    </xf>
    <xf numFmtId="0" fontId="44" fillId="0" borderId="143" xfId="69" applyFont="1" applyBorder="1" applyAlignment="1">
      <alignment horizontal="center" vertical="center" wrapText="1"/>
      <protection/>
    </xf>
    <xf numFmtId="0" fontId="44" fillId="0" borderId="144" xfId="69" applyFont="1" applyBorder="1" applyAlignment="1">
      <alignment horizontal="center" vertical="center" wrapText="1"/>
      <protection/>
    </xf>
    <xf numFmtId="0" fontId="44" fillId="0" borderId="145" xfId="69" applyFont="1" applyBorder="1" applyAlignment="1">
      <alignment horizontal="center" vertical="center" wrapText="1"/>
      <protection/>
    </xf>
    <xf numFmtId="0" fontId="42" fillId="0" borderId="144" xfId="69" applyFont="1" applyBorder="1" applyAlignment="1">
      <alignment horizontal="center" vertical="center" wrapText="1"/>
      <protection/>
    </xf>
    <xf numFmtId="0" fontId="42" fillId="0" borderId="146" xfId="69" applyFont="1" applyBorder="1" applyAlignment="1">
      <alignment horizontal="center" vertical="center" wrapText="1"/>
      <protection/>
    </xf>
    <xf numFmtId="0" fontId="44" fillId="0" borderId="17" xfId="69" applyFont="1" applyBorder="1" applyAlignment="1">
      <alignment horizontal="center" vertical="center" wrapText="1"/>
      <protection/>
    </xf>
    <xf numFmtId="0" fontId="44" fillId="0" borderId="9" xfId="69" applyFont="1" applyBorder="1" applyAlignment="1">
      <alignment horizontal="center" vertical="center" wrapText="1"/>
      <protection/>
    </xf>
    <xf numFmtId="0" fontId="42" fillId="0" borderId="9" xfId="69" applyFont="1" applyBorder="1" applyAlignment="1">
      <alignment horizontal="center" vertical="center" wrapText="1"/>
      <protection/>
    </xf>
    <xf numFmtId="0" fontId="42" fillId="0" borderId="47" xfId="69" applyFont="1" applyBorder="1" applyAlignment="1">
      <alignment horizontal="center" vertical="center" wrapText="1"/>
      <protection/>
    </xf>
    <xf numFmtId="0" fontId="43" fillId="46" borderId="147" xfId="69" applyFont="1" applyFill="1" applyBorder="1" applyAlignment="1">
      <alignment horizontal="center" vertical="center" textRotation="90" wrapText="1"/>
      <protection/>
    </xf>
    <xf numFmtId="0" fontId="44" fillId="0" borderId="19" xfId="69" applyFont="1" applyBorder="1" applyAlignment="1">
      <alignment horizontal="center" vertical="center" wrapText="1"/>
      <protection/>
    </xf>
    <xf numFmtId="0" fontId="44" fillId="0" borderId="105" xfId="69" applyFont="1" applyBorder="1" applyAlignment="1">
      <alignment horizontal="center" vertical="center" wrapText="1"/>
      <protection/>
    </xf>
    <xf numFmtId="0" fontId="42" fillId="0" borderId="105" xfId="69" applyFont="1" applyBorder="1" applyAlignment="1">
      <alignment horizontal="center" vertical="center" wrapText="1"/>
      <protection/>
    </xf>
    <xf numFmtId="0" fontId="42" fillId="0" borderId="106" xfId="69" applyFont="1" applyBorder="1" applyAlignment="1">
      <alignment horizontal="center" vertical="center" wrapText="1"/>
      <protection/>
    </xf>
    <xf numFmtId="0" fontId="45" fillId="31" borderId="128" xfId="69" applyFont="1" applyFill="1" applyBorder="1" applyAlignment="1">
      <alignment horizontal="center" vertical="center" wrapText="1"/>
      <protection/>
    </xf>
    <xf numFmtId="0" fontId="45" fillId="31" borderId="0" xfId="69" applyFont="1" applyFill="1" applyAlignment="1">
      <alignment horizontal="center" vertical="center" wrapText="1"/>
      <protection/>
    </xf>
    <xf numFmtId="0" fontId="45" fillId="31" borderId="148" xfId="69" applyFont="1" applyFill="1" applyBorder="1" applyAlignment="1">
      <alignment horizontal="center" vertical="center" wrapText="1"/>
      <protection/>
    </xf>
    <xf numFmtId="0" fontId="46" fillId="0" borderId="149" xfId="69" applyFont="1" applyBorder="1" applyAlignment="1">
      <alignment horizontal="center" vertical="center"/>
      <protection/>
    </xf>
    <xf numFmtId="0" fontId="46" fillId="0" borderId="150" xfId="69" applyFont="1" applyBorder="1" applyAlignment="1">
      <alignment horizontal="center" vertical="center"/>
      <protection/>
    </xf>
    <xf numFmtId="0" fontId="46" fillId="0" borderId="151" xfId="69" applyFont="1" applyBorder="1" applyAlignment="1">
      <alignment horizontal="center" vertical="center"/>
      <protection/>
    </xf>
    <xf numFmtId="0" fontId="47" fillId="0" borderId="152" xfId="69" applyFont="1" applyBorder="1" applyAlignment="1">
      <alignment horizontal="center" vertical="center" wrapText="1"/>
      <protection/>
    </xf>
    <xf numFmtId="0" fontId="47" fillId="0" borderId="153" xfId="69" applyFont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/>
    </xf>
    <xf numFmtId="179" fontId="0" fillId="34" borderId="9" xfId="26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left" vertical="center"/>
    </xf>
    <xf numFmtId="0" fontId="48" fillId="0" borderId="0" xfId="0" applyFont="1"/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Ênfase 4" xfId="20"/>
    <cellStyle name="Porcentagem" xfId="21"/>
    <cellStyle name="Célula Vinculada" xfId="22"/>
    <cellStyle name="Célula de Verificação" xfId="23"/>
    <cellStyle name="Moeda [0]" xfId="24"/>
    <cellStyle name="20% - Ênfase 3" xfId="25"/>
    <cellStyle name="Moeda" xfId="26"/>
    <cellStyle name="Hyperlink seguido" xfId="27"/>
    <cellStyle name="Hyperlink" xfId="28"/>
    <cellStyle name="40% - Ênfase 2" xfId="29"/>
    <cellStyle name="Observação" xfId="30"/>
    <cellStyle name="Normal 2" xfId="31"/>
    <cellStyle name="40% - Ênfase 6" xfId="32"/>
    <cellStyle name="Texto de Aviso" xfId="33"/>
    <cellStyle name="Título" xfId="34"/>
    <cellStyle name="Texto Explicativo" xfId="35"/>
    <cellStyle name="Ênfase 3" xfId="36"/>
    <cellStyle name="Título 1" xfId="37"/>
    <cellStyle name="Ênfase 4" xfId="38"/>
    <cellStyle name="Título 2" xfId="39"/>
    <cellStyle name="Ênfase 5" xfId="40"/>
    <cellStyle name="Título 3" xfId="41"/>
    <cellStyle name="Ênfase 6" xfId="42"/>
    <cellStyle name="Título 4" xfId="43"/>
    <cellStyle name="Entrada" xfId="44"/>
    <cellStyle name="Saída" xfId="45"/>
    <cellStyle name="Cálculo" xfId="46"/>
    <cellStyle name="Total" xfId="47"/>
    <cellStyle name="40% - Ênfase 1" xfId="48"/>
    <cellStyle name="Bom" xfId="49"/>
    <cellStyle name="Ruim" xfId="50"/>
    <cellStyle name="Neutro" xfId="51"/>
    <cellStyle name="Moeda 2" xfId="52"/>
    <cellStyle name="20% - Ênfase 5" xfId="53"/>
    <cellStyle name="Ênfase 1" xfId="54"/>
    <cellStyle name="20% - Ênfase 1" xfId="55"/>
    <cellStyle name="60% - Ênfase 1" xfId="56"/>
    <cellStyle name="20% - Ênfase 6" xfId="57"/>
    <cellStyle name="Ênfase 2" xfId="58"/>
    <cellStyle name="20% - Ênfase 2" xfId="59"/>
    <cellStyle name="60% - Ênfase 2" xfId="60"/>
    <cellStyle name="40% - Ênfase 3" xfId="61"/>
    <cellStyle name="60% - Ênfase 3" xfId="62"/>
    <cellStyle name="20% - Ênfase 4" xfId="63"/>
    <cellStyle name="60% - Ênfase 4" xfId="64"/>
    <cellStyle name="40% - Ênfase 5" xfId="65"/>
    <cellStyle name="60% - Ênfase 5" xfId="66"/>
    <cellStyle name="60% - Ênfase 6" xfId="67"/>
    <cellStyle name="Normal 3" xfId="68"/>
    <cellStyle name="Normal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An IIA Relacao Postos'!A1" /><Relationship Id="rId2" Type="http://schemas.openxmlformats.org/officeDocument/2006/relationships/hyperlink" Target="#'An IIB Relacao Equip'!A1" /><Relationship Id="rId3" Type="http://schemas.openxmlformats.org/officeDocument/2006/relationships/hyperlink" Target="#'An IIC Relacao Materiais'!A1" /><Relationship Id="rId4" Type="http://schemas.openxmlformats.org/officeDocument/2006/relationships/hyperlink" Target="#'An IID Uniformes'!A1" /><Relationship Id="rId5" Type="http://schemas.openxmlformats.org/officeDocument/2006/relationships/hyperlink" Target="#'An IIIA Arm 12 Diurno'!A1" /><Relationship Id="rId6" Type="http://schemas.openxmlformats.org/officeDocument/2006/relationships/hyperlink" Target="#'An IIIE Sup. 12Diurno'!A1" /><Relationship Id="rId7" Type="http://schemas.openxmlformats.org/officeDocument/2006/relationships/hyperlink" Target="#'An IIIF Sup. 12Not'!A1" /><Relationship Id="rId8" Type="http://schemas.openxmlformats.org/officeDocument/2006/relationships/hyperlink" Target="#'An IIII G Sup. 44D'!A1" /><Relationship Id="rId9" Type="http://schemas.openxmlformats.org/officeDocument/2006/relationships/hyperlink" Target="#'Anexo IV Custos Final'!A1" /><Relationship Id="rId10" Type="http://schemas.openxmlformats.org/officeDocument/2006/relationships/hyperlink" Target="#'An IIIB Arm 12 Not'!A1" /><Relationship Id="rId11" Type="http://schemas.openxmlformats.org/officeDocument/2006/relationships/hyperlink" Target="#'An IIID Moto 12 Not'!A1" /><Relationship Id="rId12" Type="http://schemas.openxmlformats.org/officeDocument/2006/relationships/hyperlink" Target="#'An IIIC Moto 12 Diurno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LANILHA'!A1" /><Relationship Id="rId3" Type="http://schemas.openxmlformats.org/officeDocument/2006/relationships/hyperlink" Target="#'MENU PLANILHA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LANILHA'!A1" /><Relationship Id="rId3" Type="http://schemas.openxmlformats.org/officeDocument/2006/relationships/hyperlink" Target="#'MENU PLANILHA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LANILHA'!A1" /><Relationship Id="rId3" Type="http://schemas.openxmlformats.org/officeDocument/2006/relationships/hyperlink" Target="#'MENU PLANILHA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LANILHA'!A1" /><Relationship Id="rId3" Type="http://schemas.openxmlformats.org/officeDocument/2006/relationships/hyperlink" Target="#'MENU PLANILH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LANILHA'!A1" /><Relationship Id="rId3" Type="http://schemas.openxmlformats.org/officeDocument/2006/relationships/hyperlink" Target="#'MENU PLANILH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LANILHA'!A1" /><Relationship Id="rId3" Type="http://schemas.openxmlformats.org/officeDocument/2006/relationships/hyperlink" Target="#'MENU PLANILH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LANILHA'!A1" /><Relationship Id="rId3" Type="http://schemas.openxmlformats.org/officeDocument/2006/relationships/hyperlink" Target="#'MENU PLANILH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LANILHA'!A1" /><Relationship Id="rId3" Type="http://schemas.openxmlformats.org/officeDocument/2006/relationships/hyperlink" Target="#'MENU PLANILHA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LANILHA'!A1" /><Relationship Id="rId3" Type="http://schemas.openxmlformats.org/officeDocument/2006/relationships/hyperlink" Target="#'MENU PLANILHA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LANILHA'!A1" /><Relationship Id="rId3" Type="http://schemas.openxmlformats.org/officeDocument/2006/relationships/hyperlink" Target="#'MENU PLANILHA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LANILHA'!A1" /><Relationship Id="rId3" Type="http://schemas.openxmlformats.org/officeDocument/2006/relationships/hyperlink" Target="#'MENU PLANILHA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NU PLANILHA'!A1" /><Relationship Id="rId3" Type="http://schemas.openxmlformats.org/officeDocument/2006/relationships/hyperlink" Target="#'MENU PLANILHA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371475</xdr:colOff>
      <xdr:row>11</xdr:row>
      <xdr:rowOff>47625</xdr:rowOff>
    </xdr:to>
    <xdr:sp>
      <xdr:nvSpPr>
        <xdr:cNvPr id="2" name="Retângulo de cantos arredondados 3">
          <a:hlinkClick r:id="rId1"/>
        </xdr:cNvPr>
        <xdr:cNvSpPr/>
      </xdr:nvSpPr>
      <xdr:spPr>
        <a:xfrm>
          <a:off x="0" y="1619250"/>
          <a:ext cx="2390775" cy="809625"/>
        </a:xfrm>
        <a:prstGeom prst="roundRect">
          <a:avLst/>
        </a:prstGeom>
        <a:ln w="53975">
          <a:solidFill>
            <a:schemeClr val="bg1"/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A - Relação dos Postos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685800</xdr:colOff>
      <xdr:row>7</xdr:row>
      <xdr:rowOff>9525</xdr:rowOff>
    </xdr:from>
    <xdr:to>
      <xdr:col>4</xdr:col>
      <xdr:colOff>657225</xdr:colOff>
      <xdr:row>11</xdr:row>
      <xdr:rowOff>57150</xdr:rowOff>
    </xdr:to>
    <xdr:sp>
      <xdr:nvSpPr>
        <xdr:cNvPr id="3" name="Retângulo de cantos arredondados 3">
          <a:hlinkClick r:id="rId2"/>
        </xdr:cNvPr>
        <xdr:cNvSpPr/>
      </xdr:nvSpPr>
      <xdr:spPr>
        <a:xfrm>
          <a:off x="2705100" y="1628775"/>
          <a:ext cx="2390775" cy="809625"/>
        </a:xfrm>
        <a:prstGeom prst="roundRect">
          <a:avLst/>
        </a:prstGeom>
        <a:ln w="53975">
          <a:solidFill>
            <a:schemeClr val="bg1"/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B - Relação dos Equipamentos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5</xdr:col>
      <xdr:colOff>123825</xdr:colOff>
      <xdr:row>7</xdr:row>
      <xdr:rowOff>0</xdr:rowOff>
    </xdr:from>
    <xdr:to>
      <xdr:col>9</xdr:col>
      <xdr:colOff>28575</xdr:colOff>
      <xdr:row>11</xdr:row>
      <xdr:rowOff>47625</xdr:rowOff>
    </xdr:to>
    <xdr:sp>
      <xdr:nvSpPr>
        <xdr:cNvPr id="4" name="Retângulo de cantos arredondados 3">
          <a:hlinkClick r:id="rId3"/>
        </xdr:cNvPr>
        <xdr:cNvSpPr/>
      </xdr:nvSpPr>
      <xdr:spPr>
        <a:xfrm>
          <a:off x="5381625" y="1619250"/>
          <a:ext cx="2371725" cy="809625"/>
        </a:xfrm>
        <a:prstGeom prst="roundRect">
          <a:avLst/>
        </a:prstGeom>
        <a:ln w="53975">
          <a:solidFill>
            <a:schemeClr val="bg1"/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C - Relação 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dos Materiais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400050</xdr:colOff>
      <xdr:row>6</xdr:row>
      <xdr:rowOff>171450</xdr:rowOff>
    </xdr:from>
    <xdr:to>
      <xdr:col>13</xdr:col>
      <xdr:colOff>419100</xdr:colOff>
      <xdr:row>11</xdr:row>
      <xdr:rowOff>38100</xdr:rowOff>
    </xdr:to>
    <xdr:sp>
      <xdr:nvSpPr>
        <xdr:cNvPr id="5" name="Retângulo de cantos arredondados 3">
          <a:hlinkClick r:id="rId4"/>
        </xdr:cNvPr>
        <xdr:cNvSpPr/>
      </xdr:nvSpPr>
      <xdr:spPr>
        <a:xfrm>
          <a:off x="8124825" y="1600200"/>
          <a:ext cx="2381250" cy="819150"/>
        </a:xfrm>
        <a:prstGeom prst="roundRect">
          <a:avLst/>
        </a:prstGeom>
        <a:ln w="53975">
          <a:solidFill>
            <a:schemeClr val="bg1"/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D - Relação 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dos Uniformes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12</xdr:row>
      <xdr:rowOff>104775</xdr:rowOff>
    </xdr:from>
    <xdr:to>
      <xdr:col>2</xdr:col>
      <xdr:colOff>371475</xdr:colOff>
      <xdr:row>16</xdr:row>
      <xdr:rowOff>142875</xdr:rowOff>
    </xdr:to>
    <xdr:sp>
      <xdr:nvSpPr>
        <xdr:cNvPr id="6" name="Retângulo de cantos arredondados 3">
          <a:hlinkClick r:id="rId5"/>
        </xdr:cNvPr>
        <xdr:cNvSpPr/>
      </xdr:nvSpPr>
      <xdr:spPr>
        <a:xfrm>
          <a:off x="0" y="2676525"/>
          <a:ext cx="2390775" cy="809625"/>
        </a:xfrm>
        <a:prstGeom prst="roundRect">
          <a:avLst/>
        </a:prstGeom>
        <a:ln w="53975">
          <a:solidFill>
            <a:schemeClr val="bg1"/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III A - Custo Vigilante Armado 12x36 Diurno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2</xdr:col>
      <xdr:colOff>371475</xdr:colOff>
      <xdr:row>22</xdr:row>
      <xdr:rowOff>47625</xdr:rowOff>
    </xdr:to>
    <xdr:sp>
      <xdr:nvSpPr>
        <xdr:cNvPr id="8" name="Retângulo de cantos arredondados 3">
          <a:hlinkClick r:id="rId6"/>
        </xdr:cNvPr>
        <xdr:cNvSpPr/>
      </xdr:nvSpPr>
      <xdr:spPr>
        <a:xfrm>
          <a:off x="0" y="3724275"/>
          <a:ext cx="2390775" cy="809625"/>
        </a:xfrm>
        <a:prstGeom prst="roundRect">
          <a:avLst/>
        </a:prstGeom>
        <a:ln w="53975">
          <a:solidFill>
            <a:schemeClr val="bg1"/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r>
            <a:rPr lang="pt-PT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Anexo</a:t>
          </a:r>
          <a:r>
            <a:rPr lang="pt-PT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III E - Custo Supervisor Desarmado 12x36 Diurno (preenchimento licitante)</a:t>
          </a:r>
          <a:endParaRPr lang="pt-BR" sz="1200">
            <a:effectLst/>
          </a:endParaRP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4</xdr:col>
      <xdr:colOff>638175</xdr:colOff>
      <xdr:row>22</xdr:row>
      <xdr:rowOff>28575</xdr:rowOff>
    </xdr:to>
    <xdr:sp>
      <xdr:nvSpPr>
        <xdr:cNvPr id="9" name="Retângulo de cantos arredondados 3">
          <a:hlinkClick r:id="rId7"/>
        </xdr:cNvPr>
        <xdr:cNvSpPr/>
      </xdr:nvSpPr>
      <xdr:spPr>
        <a:xfrm>
          <a:off x="2686050" y="3695700"/>
          <a:ext cx="2390775" cy="819150"/>
        </a:xfrm>
        <a:prstGeom prst="roundRect">
          <a:avLst/>
        </a:prstGeom>
        <a:ln w="53975">
          <a:solidFill>
            <a:schemeClr val="bg1"/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r>
            <a:rPr lang="pt-PT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Anexo</a:t>
          </a:r>
          <a:r>
            <a:rPr lang="pt-PT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III F - Custo Supervisor Desarmado 12x36 Noturno (preenchimento licitante)</a:t>
          </a:r>
          <a:endParaRPr lang="pt-BR" sz="1200">
            <a:effectLst/>
          </a:endParaRPr>
        </a:p>
      </xdr:txBody>
    </xdr:sp>
    <xdr:clientData/>
  </xdr:twoCellAnchor>
  <xdr:twoCellAnchor>
    <xdr:from>
      <xdr:col>5</xdr:col>
      <xdr:colOff>95250</xdr:colOff>
      <xdr:row>17</xdr:row>
      <xdr:rowOff>171450</xdr:rowOff>
    </xdr:from>
    <xdr:to>
      <xdr:col>8</xdr:col>
      <xdr:colOff>590550</xdr:colOff>
      <xdr:row>22</xdr:row>
      <xdr:rowOff>38100</xdr:rowOff>
    </xdr:to>
    <xdr:sp>
      <xdr:nvSpPr>
        <xdr:cNvPr id="10" name="Retângulo de cantos arredondados 3">
          <a:hlinkClick r:id="rId8"/>
        </xdr:cNvPr>
        <xdr:cNvSpPr/>
      </xdr:nvSpPr>
      <xdr:spPr>
        <a:xfrm>
          <a:off x="5353050" y="3705225"/>
          <a:ext cx="2371725" cy="819150"/>
        </a:xfrm>
        <a:prstGeom prst="roundRect">
          <a:avLst/>
        </a:prstGeom>
        <a:ln w="53975">
          <a:solidFill>
            <a:schemeClr val="bg1"/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Anexo</a:t>
          </a:r>
          <a:r>
            <a:rPr lang="pt-PT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III G - Custo Supervisor Desarmado 44h Diurno (preenchimento licitante)</a:t>
          </a:r>
          <a:endParaRPr lang="pt-BR" sz="1200">
            <a:effectLst/>
          </a:endParaRPr>
        </a:p>
        <a:p>
          <a:pPr algn="ctr"/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438150</xdr:colOff>
      <xdr:row>17</xdr:row>
      <xdr:rowOff>171450</xdr:rowOff>
    </xdr:from>
    <xdr:to>
      <xdr:col>13</xdr:col>
      <xdr:colOff>447675</xdr:colOff>
      <xdr:row>22</xdr:row>
      <xdr:rowOff>28575</xdr:rowOff>
    </xdr:to>
    <xdr:sp>
      <xdr:nvSpPr>
        <xdr:cNvPr id="11" name="Retângulo de cantos arredondados 3">
          <a:hlinkClick r:id="rId9"/>
        </xdr:cNvPr>
        <xdr:cNvSpPr/>
      </xdr:nvSpPr>
      <xdr:spPr>
        <a:xfrm>
          <a:off x="8162925" y="3705225"/>
          <a:ext cx="2371725" cy="809625"/>
        </a:xfrm>
        <a:prstGeom prst="roundRect">
          <a:avLst/>
        </a:prstGeom>
        <a:ln w="53975">
          <a:solidFill>
            <a:schemeClr val="bg1"/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r>
            <a:rPr lang="pt-PT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Anexo</a:t>
          </a:r>
          <a:r>
            <a:rPr lang="pt-PT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IV - Composição custos final (preenchimento licitante)</a:t>
          </a:r>
          <a:endParaRPr lang="pt-BR" sz="1200">
            <a:effectLst/>
          </a:endParaRPr>
        </a:p>
      </xdr:txBody>
    </xdr:sp>
    <xdr:clientData/>
  </xdr:twoCellAnchor>
  <xdr:twoCellAnchor>
    <xdr:from>
      <xdr:col>2</xdr:col>
      <xdr:colOff>704850</xdr:colOff>
      <xdr:row>12</xdr:row>
      <xdr:rowOff>104775</xdr:rowOff>
    </xdr:from>
    <xdr:to>
      <xdr:col>4</xdr:col>
      <xdr:colOff>666750</xdr:colOff>
      <xdr:row>16</xdr:row>
      <xdr:rowOff>142875</xdr:rowOff>
    </xdr:to>
    <xdr:sp>
      <xdr:nvSpPr>
        <xdr:cNvPr id="12" name="Retângulo de cantos arredondados 3">
          <a:hlinkClick r:id="rId10"/>
        </xdr:cNvPr>
        <xdr:cNvSpPr/>
      </xdr:nvSpPr>
      <xdr:spPr>
        <a:xfrm>
          <a:off x="2724150" y="2676525"/>
          <a:ext cx="2381250" cy="809625"/>
        </a:xfrm>
        <a:prstGeom prst="roundRect">
          <a:avLst/>
        </a:prstGeom>
        <a:ln w="53975">
          <a:solidFill>
            <a:schemeClr val="bg1"/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III B - </a:t>
          </a:r>
          <a:r>
            <a:rPr lang="pt-PT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Custo Vigilante Armado 12x36 Noturno (preenchimento licitante)</a:t>
          </a:r>
          <a:endParaRPr lang="pt-BR" sz="1200">
            <a:effectLst/>
          </a:endParaRPr>
        </a:p>
      </xdr:txBody>
    </xdr:sp>
    <xdr:clientData/>
  </xdr:twoCellAnchor>
  <xdr:twoCellAnchor>
    <xdr:from>
      <xdr:col>9</xdr:col>
      <xdr:colOff>457200</xdr:colOff>
      <xdr:row>11</xdr:row>
      <xdr:rowOff>171450</xdr:rowOff>
    </xdr:from>
    <xdr:to>
      <xdr:col>13</xdr:col>
      <xdr:colOff>466725</xdr:colOff>
      <xdr:row>16</xdr:row>
      <xdr:rowOff>28575</xdr:rowOff>
    </xdr:to>
    <xdr:sp>
      <xdr:nvSpPr>
        <xdr:cNvPr id="13" name="Retângulo de cantos arredondados 3">
          <a:hlinkClick r:id="rId11"/>
        </xdr:cNvPr>
        <xdr:cNvSpPr/>
      </xdr:nvSpPr>
      <xdr:spPr>
        <a:xfrm>
          <a:off x="8181975" y="2552700"/>
          <a:ext cx="2371725" cy="819150"/>
        </a:xfrm>
        <a:prstGeom prst="roundRect">
          <a:avLst/>
        </a:prstGeom>
        <a:ln w="53975">
          <a:solidFill>
            <a:schemeClr val="bg1"/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+mn-lt"/>
              <a:cs typeface="Arial" panose="020B0604020202020204" pitchFamily="7" charset="0"/>
            </a:rPr>
            <a:t>Anexo</a:t>
          </a:r>
          <a:r>
            <a:rPr lang="pt-PT" sz="1200" b="1" baseline="0">
              <a:latin typeface="+mn-lt"/>
              <a:cs typeface="Arial" panose="020B0604020202020204" pitchFamily="7" charset="0"/>
            </a:rPr>
            <a:t> III D - </a:t>
          </a:r>
          <a:r>
            <a:rPr lang="pt-PT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Custo Vigilante Motociclista 12x36 Noturno (preenchimento licitante)</a:t>
          </a:r>
          <a:endParaRPr lang="pt-PT" sz="1200" b="1">
            <a:latin typeface="+mn-lt"/>
            <a:cs typeface="Arial" panose="020B0604020202020204" pitchFamily="7" charset="0"/>
          </a:endParaRPr>
        </a:p>
      </xdr:txBody>
    </xdr:sp>
    <xdr:clientData/>
  </xdr:twoCellAnchor>
  <xdr:twoCellAnchor>
    <xdr:from>
      <xdr:col>5</xdr:col>
      <xdr:colOff>85725</xdr:colOff>
      <xdr:row>12</xdr:row>
      <xdr:rowOff>47625</xdr:rowOff>
    </xdr:from>
    <xdr:to>
      <xdr:col>8</xdr:col>
      <xdr:colOff>590550</xdr:colOff>
      <xdr:row>16</xdr:row>
      <xdr:rowOff>76200</xdr:rowOff>
    </xdr:to>
    <xdr:sp>
      <xdr:nvSpPr>
        <xdr:cNvPr id="14" name="Retângulo de cantos arredondados 3">
          <a:hlinkClick r:id="rId12"/>
        </xdr:cNvPr>
        <xdr:cNvSpPr/>
      </xdr:nvSpPr>
      <xdr:spPr>
        <a:xfrm>
          <a:off x="5343525" y="2619375"/>
          <a:ext cx="2381250" cy="800100"/>
        </a:xfrm>
        <a:prstGeom prst="roundRect">
          <a:avLst/>
        </a:prstGeom>
        <a:ln w="53975">
          <a:solidFill>
            <a:schemeClr val="bg1"/>
          </a:solidFill>
          <a:headEnd type="none"/>
          <a:tailEnd type="none"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r>
            <a:rPr lang="pt-PT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Anexo</a:t>
          </a:r>
          <a:r>
            <a:rPr lang="pt-PT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III C - Custo Motociclista Armado 12x36 Diurno (preenchimento licitante)</a:t>
          </a:r>
          <a:endParaRPr lang="pt-BR" sz="1200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0</xdr:rowOff>
    </xdr:from>
    <xdr:to>
      <xdr:col>4</xdr:col>
      <xdr:colOff>704850</xdr:colOff>
      <xdr:row>3</xdr:row>
      <xdr:rowOff>85725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0"/>
          <a:ext cx="1143000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0</xdr:rowOff>
    </xdr:from>
    <xdr:to>
      <xdr:col>4</xdr:col>
      <xdr:colOff>704850</xdr:colOff>
      <xdr:row>3</xdr:row>
      <xdr:rowOff>85725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0"/>
          <a:ext cx="1143000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0</xdr:rowOff>
    </xdr:from>
    <xdr:to>
      <xdr:col>4</xdr:col>
      <xdr:colOff>704850</xdr:colOff>
      <xdr:row>3</xdr:row>
      <xdr:rowOff>85725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0"/>
          <a:ext cx="1143000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6</xdr:col>
      <xdr:colOff>304800</xdr:colOff>
      <xdr:row>3</xdr:row>
      <xdr:rowOff>85725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114425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19050</xdr:rowOff>
    </xdr:from>
    <xdr:to>
      <xdr:col>6</xdr:col>
      <xdr:colOff>257175</xdr:colOff>
      <xdr:row>3</xdr:row>
      <xdr:rowOff>104775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"/>
          <a:ext cx="1114425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0</xdr:rowOff>
    </xdr:from>
    <xdr:to>
      <xdr:col>5</xdr:col>
      <xdr:colOff>647700</xdr:colOff>
      <xdr:row>3</xdr:row>
      <xdr:rowOff>85725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133475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1133475</xdr:colOff>
      <xdr:row>0</xdr:row>
      <xdr:rowOff>0</xdr:rowOff>
    </xdr:from>
    <xdr:to>
      <xdr:col>5</xdr:col>
      <xdr:colOff>904875</xdr:colOff>
      <xdr:row>3</xdr:row>
      <xdr:rowOff>85725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0"/>
          <a:ext cx="1123950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0</xdr:rowOff>
    </xdr:from>
    <xdr:to>
      <xdr:col>8</xdr:col>
      <xdr:colOff>19050</xdr:colOff>
      <xdr:row>3</xdr:row>
      <xdr:rowOff>85725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111442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0</xdr:rowOff>
    </xdr:from>
    <xdr:to>
      <xdr:col>4</xdr:col>
      <xdr:colOff>704850</xdr:colOff>
      <xdr:row>3</xdr:row>
      <xdr:rowOff>85725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1143000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0</xdr:row>
      <xdr:rowOff>0</xdr:rowOff>
    </xdr:from>
    <xdr:to>
      <xdr:col>4</xdr:col>
      <xdr:colOff>762000</xdr:colOff>
      <xdr:row>3</xdr:row>
      <xdr:rowOff>85725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1143000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0</xdr:rowOff>
    </xdr:from>
    <xdr:to>
      <xdr:col>4</xdr:col>
      <xdr:colOff>704850</xdr:colOff>
      <xdr:row>3</xdr:row>
      <xdr:rowOff>85725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0"/>
          <a:ext cx="1143000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0</xdr:rowOff>
    </xdr:from>
    <xdr:to>
      <xdr:col>4</xdr:col>
      <xdr:colOff>704850</xdr:colOff>
      <xdr:row>3</xdr:row>
      <xdr:rowOff>85725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0"/>
          <a:ext cx="1143000" cy="742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6"/>
  <sheetViews>
    <sheetView workbookViewId="0" topLeftCell="A1">
      <selection activeCell="A1" sqref="A1:N1"/>
    </sheetView>
  </sheetViews>
  <sheetFormatPr defaultColWidth="8.8515625" defaultRowHeight="15"/>
  <cols>
    <col min="2" max="2" width="21.421875" style="0" customWidth="1"/>
    <col min="3" max="3" width="17.28125" style="0" customWidth="1"/>
    <col min="4" max="4" width="19.00390625" style="0" customWidth="1"/>
    <col min="5" max="5" width="12.28125" style="0" customWidth="1"/>
    <col min="6" max="6" width="8.421875" style="0" customWidth="1"/>
    <col min="7" max="7" width="10.8515625" style="0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8" ht="14.4" customHeight="1">
      <c r="A4" s="200"/>
      <c r="B4" s="200"/>
      <c r="C4" s="200"/>
      <c r="D4" s="200"/>
      <c r="E4" s="200"/>
      <c r="F4" s="200"/>
      <c r="G4" s="200"/>
      <c r="H4" s="4"/>
    </row>
    <row r="5" spans="1:14" ht="31.95" customHeight="1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16" ht="15.75">
      <c r="E16" s="474" t="s">
        <v>3</v>
      </c>
    </row>
  </sheetData>
  <mergeCells count="4">
    <mergeCell ref="A1:N1"/>
    <mergeCell ref="A2:N2"/>
    <mergeCell ref="A4:G4"/>
    <mergeCell ref="A5:N5"/>
  </mergeCells>
  <printOptions/>
  <pageMargins left="0.511811024" right="0.511811024" top="0.787401575" bottom="0.787401575" header="0.31496062" footer="0.31496062"/>
  <pageSetup horizontalDpi="600" verticalDpi="600" orientation="landscape" paperSize="9" scale="84"/>
  <headerFooter>
    <oddHeader>&amp;L&amp;G&amp;CProcesso 23069.167552/2021-41
PE 88/2021&amp;R&amp;G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57"/>
  <sheetViews>
    <sheetView workbookViewId="0" topLeftCell="A1">
      <selection activeCell="A4" sqref="A4:E4"/>
    </sheetView>
  </sheetViews>
  <sheetFormatPr defaultColWidth="8.8515625" defaultRowHeight="15" outlineLevelCol="7"/>
  <cols>
    <col min="2" max="2" width="64.57421875" style="0" customWidth="1"/>
    <col min="3" max="3" width="12.28125" style="0" customWidth="1"/>
    <col min="4" max="4" width="10.7109375" style="0" customWidth="1"/>
    <col min="5" max="5" width="12.8515625" style="0" customWidth="1"/>
    <col min="6" max="6" width="14.00390625" style="0" customWidth="1"/>
    <col min="7" max="7" width="10.8515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8"/>
      <c r="G1" s="28"/>
    </row>
    <row r="2" spans="1:7" ht="18.75">
      <c r="A2" s="2" t="s">
        <v>1</v>
      </c>
      <c r="B2" s="2"/>
      <c r="C2" s="2"/>
      <c r="D2" s="2"/>
      <c r="E2" s="2"/>
      <c r="F2" s="29"/>
      <c r="G2" s="29"/>
    </row>
    <row r="4" spans="1:8" ht="14.4" customHeight="1">
      <c r="A4" s="30" t="s">
        <v>351</v>
      </c>
      <c r="B4" s="30"/>
      <c r="C4" s="30"/>
      <c r="D4" s="30"/>
      <c r="E4" s="30"/>
      <c r="F4" s="31"/>
      <c r="G4" s="31"/>
      <c r="H4" s="4"/>
    </row>
    <row r="5" spans="1:8" ht="38.4" customHeight="1">
      <c r="A5" s="32" t="s">
        <v>5</v>
      </c>
      <c r="B5" s="32"/>
      <c r="C5" s="32"/>
      <c r="D5" s="32"/>
      <c r="E5" s="32"/>
      <c r="F5" s="33"/>
      <c r="G5" s="33"/>
      <c r="H5" s="6"/>
    </row>
    <row r="7" spans="1:5" ht="15">
      <c r="A7" s="34"/>
      <c r="B7" s="35" t="s">
        <v>346</v>
      </c>
      <c r="C7" s="35"/>
      <c r="D7" s="35"/>
      <c r="E7" s="35"/>
    </row>
    <row r="8" spans="1:5" ht="15">
      <c r="A8" s="34"/>
      <c r="B8" s="34"/>
      <c r="C8" s="34"/>
      <c r="D8" s="34"/>
      <c r="E8" s="34"/>
    </row>
    <row r="9" spans="1:5" ht="15">
      <c r="A9" s="34"/>
      <c r="B9" s="36" t="s">
        <v>221</v>
      </c>
      <c r="C9" s="36"/>
      <c r="D9" s="36"/>
      <c r="E9" s="36"/>
    </row>
    <row r="10" spans="1:5" ht="15.75">
      <c r="A10" s="34"/>
      <c r="B10" s="37" t="s">
        <v>222</v>
      </c>
      <c r="C10" s="38"/>
      <c r="D10" s="38"/>
      <c r="E10" s="38"/>
    </row>
    <row r="11" spans="1:5" ht="15">
      <c r="A11" s="34"/>
      <c r="B11" s="39" t="s">
        <v>223</v>
      </c>
      <c r="C11" s="40" t="s">
        <v>352</v>
      </c>
      <c r="D11" s="41"/>
      <c r="E11" s="42"/>
    </row>
    <row r="12" spans="1:5" ht="15">
      <c r="A12" s="34"/>
      <c r="B12" s="43" t="s">
        <v>225</v>
      </c>
      <c r="C12" s="44">
        <v>15.21</v>
      </c>
      <c r="D12" s="45"/>
      <c r="E12" s="46"/>
    </row>
    <row r="13" spans="1:5" ht="15">
      <c r="A13" s="34"/>
      <c r="B13" s="43" t="s">
        <v>226</v>
      </c>
      <c r="C13" s="47" t="s">
        <v>353</v>
      </c>
      <c r="D13" s="48"/>
      <c r="E13" s="49"/>
    </row>
    <row r="14" spans="1:5" ht="15">
      <c r="A14" s="34"/>
      <c r="B14" s="43" t="s">
        <v>228</v>
      </c>
      <c r="C14" s="50">
        <v>2264.51</v>
      </c>
      <c r="D14" s="51"/>
      <c r="E14" s="52"/>
    </row>
    <row r="15" spans="1:5" ht="15">
      <c r="A15" s="34"/>
      <c r="B15" s="43" t="s">
        <v>229</v>
      </c>
      <c r="C15" s="44" t="s">
        <v>230</v>
      </c>
      <c r="D15" s="45"/>
      <c r="E15" s="46"/>
    </row>
    <row r="16" spans="1:5" ht="15">
      <c r="A16" s="34"/>
      <c r="B16" s="43" t="s">
        <v>231</v>
      </c>
      <c r="C16" s="53">
        <v>1</v>
      </c>
      <c r="D16" s="54"/>
      <c r="E16" s="55"/>
    </row>
    <row r="17" spans="1:5" ht="15">
      <c r="A17" s="34"/>
      <c r="B17" s="43" t="s">
        <v>232</v>
      </c>
      <c r="C17" s="56">
        <v>43831</v>
      </c>
      <c r="D17" s="57"/>
      <c r="E17" s="58"/>
    </row>
    <row r="18" spans="1:5" ht="15.75">
      <c r="A18" s="34"/>
      <c r="B18" s="59" t="s">
        <v>233</v>
      </c>
      <c r="C18" s="60" t="s">
        <v>234</v>
      </c>
      <c r="D18" s="61"/>
      <c r="E18" s="62"/>
    </row>
    <row r="19" spans="1:5" ht="15">
      <c r="A19" s="34"/>
      <c r="B19" s="34"/>
      <c r="C19" s="63"/>
      <c r="D19" s="64"/>
      <c r="E19" s="64"/>
    </row>
    <row r="20" spans="1:5" ht="15.75">
      <c r="A20" s="34"/>
      <c r="B20" s="34"/>
      <c r="C20" s="64"/>
      <c r="D20" s="64"/>
      <c r="E20" s="64"/>
    </row>
    <row r="21" spans="1:5" ht="15">
      <c r="A21" s="65" t="s">
        <v>235</v>
      </c>
      <c r="B21" s="65"/>
      <c r="C21" s="65"/>
      <c r="D21" s="64"/>
      <c r="E21" s="64"/>
    </row>
    <row r="22" spans="1:5" ht="15">
      <c r="A22" s="66">
        <v>1</v>
      </c>
      <c r="B22" s="67" t="s">
        <v>236</v>
      </c>
      <c r="C22" s="68" t="s">
        <v>237</v>
      </c>
      <c r="D22" s="64"/>
      <c r="E22" s="64"/>
    </row>
    <row r="23" spans="1:5" ht="15">
      <c r="A23" s="69" t="s">
        <v>238</v>
      </c>
      <c r="B23" s="70" t="s">
        <v>239</v>
      </c>
      <c r="C23" s="71">
        <f>C14</f>
        <v>2264.51</v>
      </c>
      <c r="D23" s="64"/>
      <c r="E23" s="64"/>
    </row>
    <row r="24" spans="1:5" ht="15">
      <c r="A24" s="69" t="s">
        <v>240</v>
      </c>
      <c r="B24" s="70" t="s">
        <v>241</v>
      </c>
      <c r="C24" s="72">
        <f>30%*C23</f>
        <v>679.353</v>
      </c>
      <c r="D24" s="64"/>
      <c r="E24" s="64"/>
    </row>
    <row r="25" spans="1:5" ht="15">
      <c r="A25" s="69" t="s">
        <v>242</v>
      </c>
      <c r="B25" s="70" t="s">
        <v>243</v>
      </c>
      <c r="C25" s="72"/>
      <c r="D25" s="64"/>
      <c r="E25" s="34"/>
    </row>
    <row r="26" spans="1:5" ht="15">
      <c r="A26" s="69" t="s">
        <v>244</v>
      </c>
      <c r="B26" s="73" t="s">
        <v>245</v>
      </c>
      <c r="C26" s="72"/>
      <c r="D26" s="64"/>
      <c r="E26" s="34"/>
    </row>
    <row r="27" spans="1:5" ht="15">
      <c r="A27" s="69" t="s">
        <v>246</v>
      </c>
      <c r="B27" s="73" t="s">
        <v>247</v>
      </c>
      <c r="C27" s="72"/>
      <c r="D27" s="64"/>
      <c r="E27" s="34"/>
    </row>
    <row r="28" spans="1:5" ht="15">
      <c r="A28" s="69" t="s">
        <v>248</v>
      </c>
      <c r="B28" s="74" t="s">
        <v>249</v>
      </c>
      <c r="C28" s="75"/>
      <c r="D28" s="64"/>
      <c r="E28" s="34"/>
    </row>
    <row r="29" spans="1:5" ht="15.75">
      <c r="A29" s="76"/>
      <c r="B29" s="77" t="s">
        <v>250</v>
      </c>
      <c r="C29" s="78">
        <f>SUM(C23:C28)</f>
        <v>2943.863</v>
      </c>
      <c r="D29" s="64"/>
      <c r="E29" s="34"/>
    </row>
    <row r="30" spans="1:5" ht="15.75">
      <c r="A30" s="34"/>
      <c r="B30" s="79"/>
      <c r="C30" s="79"/>
      <c r="D30" s="79"/>
      <c r="E30" s="64"/>
    </row>
    <row r="31" spans="1:5" ht="15">
      <c r="A31" s="80"/>
      <c r="B31" s="81" t="s">
        <v>251</v>
      </c>
      <c r="C31" s="81"/>
      <c r="D31" s="64"/>
      <c r="E31" s="34"/>
    </row>
    <row r="32" spans="1:5" ht="15">
      <c r="A32" s="82"/>
      <c r="B32" s="83" t="s">
        <v>252</v>
      </c>
      <c r="C32" s="83"/>
      <c r="D32" s="64"/>
      <c r="E32" s="34"/>
    </row>
    <row r="33" spans="1:5" ht="15">
      <c r="A33" s="66" t="s">
        <v>253</v>
      </c>
      <c r="B33" s="84" t="s">
        <v>254</v>
      </c>
      <c r="C33" s="68" t="s">
        <v>255</v>
      </c>
      <c r="D33" s="64"/>
      <c r="E33" s="34"/>
    </row>
    <row r="34" spans="1:5" ht="15">
      <c r="A34" s="69" t="s">
        <v>238</v>
      </c>
      <c r="B34" s="85" t="s">
        <v>256</v>
      </c>
      <c r="C34" s="86">
        <f>C29*8.33%</f>
        <v>245.2237879</v>
      </c>
      <c r="D34" s="64"/>
      <c r="E34" s="34"/>
    </row>
    <row r="35" spans="1:5" ht="15">
      <c r="A35" s="69" t="s">
        <v>240</v>
      </c>
      <c r="B35" s="85" t="s">
        <v>257</v>
      </c>
      <c r="C35" s="86">
        <f>C29*12.1%</f>
        <v>356.207423</v>
      </c>
      <c r="D35" s="87"/>
      <c r="E35" s="34"/>
    </row>
    <row r="36" spans="1:5" ht="15">
      <c r="A36" s="88"/>
      <c r="B36" s="89" t="s">
        <v>258</v>
      </c>
      <c r="C36" s="90">
        <f>SUM(C34:C35)</f>
        <v>601.4312109</v>
      </c>
      <c r="D36" s="91"/>
      <c r="E36" s="34"/>
    </row>
    <row r="37" spans="1:5" ht="36">
      <c r="A37" s="92" t="s">
        <v>242</v>
      </c>
      <c r="B37" s="93" t="s">
        <v>259</v>
      </c>
      <c r="C37" s="94">
        <f>C29*7.82%</f>
        <v>230.2100866</v>
      </c>
      <c r="D37" s="91"/>
      <c r="E37" s="34"/>
    </row>
    <row r="38" spans="1:5" ht="15.75">
      <c r="A38" s="34"/>
      <c r="B38" s="34"/>
      <c r="C38" s="34"/>
      <c r="D38" s="34"/>
      <c r="E38" s="64"/>
    </row>
    <row r="39" spans="1:5" ht="32.4" customHeight="1">
      <c r="A39" s="95" t="s">
        <v>260</v>
      </c>
      <c r="B39" s="95"/>
      <c r="C39" s="95"/>
      <c r="D39" s="95"/>
      <c r="E39" s="64"/>
    </row>
    <row r="40" spans="1:5" ht="15.75">
      <c r="A40" s="96" t="s">
        <v>261</v>
      </c>
      <c r="B40" s="97" t="s">
        <v>262</v>
      </c>
      <c r="C40" s="98" t="s">
        <v>263</v>
      </c>
      <c r="D40" s="99" t="s">
        <v>237</v>
      </c>
      <c r="E40" s="64"/>
    </row>
    <row r="41" spans="1:5" ht="15.75">
      <c r="A41" s="100" t="s">
        <v>238</v>
      </c>
      <c r="B41" s="101" t="s">
        <v>264</v>
      </c>
      <c r="C41" s="102">
        <v>20</v>
      </c>
      <c r="D41" s="103">
        <f>(C$29*(C41/100))</f>
        <v>588.7726</v>
      </c>
      <c r="E41" s="64"/>
    </row>
    <row r="42" spans="1:5" ht="15.75">
      <c r="A42" s="100" t="s">
        <v>240</v>
      </c>
      <c r="B42" s="104" t="s">
        <v>265</v>
      </c>
      <c r="C42" s="105">
        <v>2.5</v>
      </c>
      <c r="D42" s="103">
        <f aca="true" t="shared" si="0" ref="D42:D48">(C$29*(C42/100))</f>
        <v>73.596575</v>
      </c>
      <c r="E42" s="64"/>
    </row>
    <row r="43" spans="1:5" ht="15.75">
      <c r="A43" s="100" t="s">
        <v>242</v>
      </c>
      <c r="B43" s="106" t="s">
        <v>266</v>
      </c>
      <c r="C43" s="107">
        <v>6</v>
      </c>
      <c r="D43" s="103">
        <f t="shared" si="0"/>
        <v>176.63178</v>
      </c>
      <c r="E43" s="64"/>
    </row>
    <row r="44" spans="1:5" ht="15.75">
      <c r="A44" s="100" t="s">
        <v>244</v>
      </c>
      <c r="B44" s="104" t="s">
        <v>267</v>
      </c>
      <c r="C44" s="105">
        <v>1.5</v>
      </c>
      <c r="D44" s="103">
        <f t="shared" si="0"/>
        <v>44.157945</v>
      </c>
      <c r="E44" s="64"/>
    </row>
    <row r="45" spans="1:5" ht="15.75">
      <c r="A45" s="100" t="s">
        <v>246</v>
      </c>
      <c r="B45" s="104" t="s">
        <v>268</v>
      </c>
      <c r="C45" s="105">
        <v>1</v>
      </c>
      <c r="D45" s="103">
        <f t="shared" si="0"/>
        <v>29.43863</v>
      </c>
      <c r="E45" s="64"/>
    </row>
    <row r="46" spans="1:5" ht="15.75">
      <c r="A46" s="100" t="s">
        <v>248</v>
      </c>
      <c r="B46" s="104" t="s">
        <v>269</v>
      </c>
      <c r="C46" s="105">
        <v>0.6</v>
      </c>
      <c r="D46" s="103">
        <f t="shared" si="0"/>
        <v>17.663178</v>
      </c>
      <c r="E46" s="64"/>
    </row>
    <row r="47" spans="1:5" ht="15.75">
      <c r="A47" s="100" t="s">
        <v>270</v>
      </c>
      <c r="B47" s="104" t="s">
        <v>271</v>
      </c>
      <c r="C47" s="105">
        <v>0.2</v>
      </c>
      <c r="D47" s="103">
        <f t="shared" si="0"/>
        <v>5.887726</v>
      </c>
      <c r="E47" s="64"/>
    </row>
    <row r="48" spans="1:5" ht="15">
      <c r="A48" s="100" t="s">
        <v>272</v>
      </c>
      <c r="B48" s="106" t="s">
        <v>273</v>
      </c>
      <c r="C48" s="107">
        <v>8</v>
      </c>
      <c r="D48" s="103">
        <f t="shared" si="0"/>
        <v>235.50904</v>
      </c>
      <c r="E48" s="64"/>
    </row>
    <row r="49" spans="1:5" ht="15.75">
      <c r="A49" s="108"/>
      <c r="B49" s="109" t="s">
        <v>81</v>
      </c>
      <c r="C49" s="110">
        <f>SUM(C41:C48)</f>
        <v>39.8</v>
      </c>
      <c r="D49" s="111">
        <f>SUM(D41:D48)</f>
        <v>1171.657474</v>
      </c>
      <c r="E49" s="64"/>
    </row>
    <row r="50" spans="1:5" ht="15">
      <c r="A50" s="112"/>
      <c r="B50" s="113" t="s">
        <v>274</v>
      </c>
      <c r="C50" s="112"/>
      <c r="D50" s="112"/>
      <c r="E50" s="64"/>
    </row>
    <row r="51" spans="1:5" ht="15.75">
      <c r="A51" s="112"/>
      <c r="B51" s="113"/>
      <c r="C51" s="112"/>
      <c r="D51" s="112"/>
      <c r="E51" s="64"/>
    </row>
    <row r="52" spans="1:5" ht="15">
      <c r="A52" s="114"/>
      <c r="B52" s="115" t="s">
        <v>275</v>
      </c>
      <c r="C52" s="116"/>
      <c r="D52" s="64"/>
      <c r="E52" s="34"/>
    </row>
    <row r="53" spans="1:5" ht="15">
      <c r="A53" s="66" t="s">
        <v>276</v>
      </c>
      <c r="B53" s="67" t="s">
        <v>277</v>
      </c>
      <c r="C53" s="68" t="s">
        <v>237</v>
      </c>
      <c r="D53" s="64"/>
      <c r="E53" s="34"/>
    </row>
    <row r="54" spans="1:5" ht="15">
      <c r="A54" s="69" t="s">
        <v>238</v>
      </c>
      <c r="B54" s="117" t="s">
        <v>278</v>
      </c>
      <c r="C54" s="72">
        <f>(4.05*4*C12)-6%*C14</f>
        <v>110.5314</v>
      </c>
      <c r="D54" s="64"/>
      <c r="E54" s="34"/>
    </row>
    <row r="55" spans="1:5" ht="15">
      <c r="A55" s="69" t="s">
        <v>240</v>
      </c>
      <c r="B55" s="70" t="s">
        <v>279</v>
      </c>
      <c r="C55" s="72">
        <f>((29*C12)-(29*C12*10%))</f>
        <v>396.981</v>
      </c>
      <c r="D55" s="64"/>
      <c r="E55" s="34"/>
    </row>
    <row r="56" spans="1:5" ht="15">
      <c r="A56" s="69" t="s">
        <v>242</v>
      </c>
      <c r="B56" s="70" t="s">
        <v>280</v>
      </c>
      <c r="C56" s="72"/>
      <c r="D56" s="64"/>
      <c r="E56" s="34"/>
    </row>
    <row r="57" spans="1:5" ht="15">
      <c r="A57" s="69" t="s">
        <v>281</v>
      </c>
      <c r="B57" s="70" t="s">
        <v>282</v>
      </c>
      <c r="C57" s="72">
        <v>27</v>
      </c>
      <c r="D57" s="64"/>
      <c r="E57" s="34"/>
    </row>
    <row r="58" spans="1:5" ht="15">
      <c r="A58" s="88" t="s">
        <v>283</v>
      </c>
      <c r="B58" s="118" t="s">
        <v>284</v>
      </c>
      <c r="C58" s="119"/>
      <c r="D58" s="64"/>
      <c r="E58" s="34"/>
    </row>
    <row r="59" spans="1:5" ht="15.75">
      <c r="A59" s="76"/>
      <c r="B59" s="77" t="s">
        <v>285</v>
      </c>
      <c r="C59" s="78">
        <f>SUM(C54:C58)</f>
        <v>534.5124</v>
      </c>
      <c r="D59" s="64"/>
      <c r="E59" s="34"/>
    </row>
    <row r="60" spans="1:5" ht="15.75">
      <c r="A60" s="112"/>
      <c r="B60" s="120"/>
      <c r="C60" s="121"/>
      <c r="D60" s="122"/>
      <c r="E60" s="64"/>
    </row>
    <row r="61" spans="1:5" ht="15">
      <c r="A61" s="114"/>
      <c r="B61" s="123" t="s">
        <v>286</v>
      </c>
      <c r="C61" s="124"/>
      <c r="D61" s="64"/>
      <c r="E61" s="34"/>
    </row>
    <row r="62" spans="1:5" ht="15">
      <c r="A62" s="69">
        <v>2</v>
      </c>
      <c r="B62" s="125" t="s">
        <v>287</v>
      </c>
      <c r="C62" s="126" t="s">
        <v>255</v>
      </c>
      <c r="D62" s="64"/>
      <c r="E62" s="34"/>
    </row>
    <row r="63" spans="1:5" ht="15">
      <c r="A63" s="69" t="s">
        <v>253</v>
      </c>
      <c r="B63" s="70" t="s">
        <v>254</v>
      </c>
      <c r="C63" s="71">
        <f>C36</f>
        <v>601.4312109</v>
      </c>
      <c r="D63" s="64"/>
      <c r="E63" s="34"/>
    </row>
    <row r="64" spans="1:5" ht="15">
      <c r="A64" s="69" t="s">
        <v>261</v>
      </c>
      <c r="B64" s="70" t="s">
        <v>262</v>
      </c>
      <c r="C64" s="71">
        <f>D49+C37</f>
        <v>1401.8675606</v>
      </c>
      <c r="D64" s="64"/>
      <c r="E64" s="34"/>
    </row>
    <row r="65" spans="1:5" ht="15">
      <c r="A65" s="69" t="s">
        <v>276</v>
      </c>
      <c r="B65" s="70" t="s">
        <v>277</v>
      </c>
      <c r="C65" s="71">
        <f>C59</f>
        <v>534.5124</v>
      </c>
      <c r="D65" s="64"/>
      <c r="E65" s="34"/>
    </row>
    <row r="66" spans="1:5" ht="15.75">
      <c r="A66" s="76"/>
      <c r="B66" s="127" t="s">
        <v>258</v>
      </c>
      <c r="C66" s="78">
        <f>SUM(C63:C65)</f>
        <v>2537.8111715</v>
      </c>
      <c r="D66" s="64"/>
      <c r="E66" s="34"/>
    </row>
    <row r="67" spans="1:5" ht="15.75">
      <c r="A67" s="34"/>
      <c r="B67" s="128"/>
      <c r="C67" s="122"/>
      <c r="D67" s="122"/>
      <c r="E67" s="64"/>
    </row>
    <row r="68" spans="1:5" ht="15">
      <c r="A68" s="129"/>
      <c r="B68" s="130" t="s">
        <v>288</v>
      </c>
      <c r="C68" s="131"/>
      <c r="D68" s="64"/>
      <c r="E68" s="34"/>
    </row>
    <row r="69" spans="1:5" ht="15">
      <c r="A69" s="132">
        <v>3</v>
      </c>
      <c r="B69" s="133" t="s">
        <v>289</v>
      </c>
      <c r="C69" s="134" t="s">
        <v>237</v>
      </c>
      <c r="D69" s="64"/>
      <c r="E69" s="34"/>
    </row>
    <row r="70" spans="1:5" ht="15">
      <c r="A70" s="135" t="s">
        <v>238</v>
      </c>
      <c r="B70" s="136" t="s">
        <v>290</v>
      </c>
      <c r="C70" s="137">
        <f>((C29+C34+C35)/12)*5%</f>
        <v>14.7720592120833</v>
      </c>
      <c r="D70" s="64"/>
      <c r="E70" s="34"/>
    </row>
    <row r="71" spans="1:5" ht="15">
      <c r="A71" s="135" t="s">
        <v>240</v>
      </c>
      <c r="B71" s="136" t="s">
        <v>291</v>
      </c>
      <c r="C71" s="138">
        <f>((C29+C34)/12)*5%*8%</f>
        <v>1.0630289293</v>
      </c>
      <c r="D71" s="64"/>
      <c r="E71" s="34"/>
    </row>
    <row r="72" spans="1:5" ht="15">
      <c r="A72" s="135" t="s">
        <v>242</v>
      </c>
      <c r="B72" s="136" t="s">
        <v>292</v>
      </c>
      <c r="C72" s="138">
        <v>0</v>
      </c>
      <c r="D72" s="64"/>
      <c r="E72" s="34"/>
    </row>
    <row r="73" spans="1:5" ht="15">
      <c r="A73" s="135" t="s">
        <v>244</v>
      </c>
      <c r="B73" s="136" t="s">
        <v>293</v>
      </c>
      <c r="C73" s="138">
        <f>(((C29+C56)/30/12)*7)</f>
        <v>57.2417805555556</v>
      </c>
      <c r="D73" s="64"/>
      <c r="E73" s="34"/>
    </row>
    <row r="74" spans="1:5" ht="15">
      <c r="A74" s="135" t="s">
        <v>246</v>
      </c>
      <c r="B74" s="136" t="s">
        <v>294</v>
      </c>
      <c r="C74" s="139">
        <f>(C29/30/12*7)*8%</f>
        <v>4.57934244444445</v>
      </c>
      <c r="D74" s="64"/>
      <c r="E74" s="34"/>
    </row>
    <row r="75" spans="1:5" ht="15">
      <c r="A75" s="135" t="s">
        <v>248</v>
      </c>
      <c r="B75" s="136" t="s">
        <v>295</v>
      </c>
      <c r="C75" s="138">
        <f>C29*4%</f>
        <v>117.75452</v>
      </c>
      <c r="D75" s="64"/>
      <c r="E75" s="34"/>
    </row>
    <row r="76" spans="1:5" ht="15">
      <c r="A76" s="140"/>
      <c r="B76" s="133" t="s">
        <v>81</v>
      </c>
      <c r="C76" s="141">
        <f>SUM(C70:C75)</f>
        <v>195.410731141383</v>
      </c>
      <c r="D76" s="64"/>
      <c r="E76" s="34"/>
    </row>
    <row r="77" spans="1:5" ht="15.75">
      <c r="A77" s="34"/>
      <c r="B77" s="34"/>
      <c r="C77" s="34"/>
      <c r="D77" s="34"/>
      <c r="E77" s="64"/>
    </row>
    <row r="78" spans="1:5" ht="15">
      <c r="A78" s="80"/>
      <c r="B78" s="142" t="s">
        <v>296</v>
      </c>
      <c r="C78" s="143"/>
      <c r="D78" s="144"/>
      <c r="E78" s="34"/>
    </row>
    <row r="79" spans="1:5" ht="15">
      <c r="A79" s="82"/>
      <c r="B79" s="125" t="s">
        <v>297</v>
      </c>
      <c r="C79" s="68"/>
      <c r="D79" s="64"/>
      <c r="E79" s="34"/>
    </row>
    <row r="80" spans="1:5" ht="15">
      <c r="A80" s="66" t="s">
        <v>298</v>
      </c>
      <c r="B80" s="145" t="s">
        <v>299</v>
      </c>
      <c r="C80" s="146" t="s">
        <v>237</v>
      </c>
      <c r="D80" s="64"/>
      <c r="E80" s="34"/>
    </row>
    <row r="81" spans="1:5" ht="15">
      <c r="A81" s="69" t="s">
        <v>238</v>
      </c>
      <c r="B81" s="147" t="s">
        <v>300</v>
      </c>
      <c r="C81" s="148">
        <v>0</v>
      </c>
      <c r="D81" s="64"/>
      <c r="E81" s="34"/>
    </row>
    <row r="82" spans="1:5" ht="15">
      <c r="A82" s="69" t="s">
        <v>240</v>
      </c>
      <c r="B82" s="147" t="s">
        <v>301</v>
      </c>
      <c r="C82" s="148">
        <f>(((C29+C66+C76+C85+C106)-(C54-C55-C103-C104))/30*2.96)/12</f>
        <v>81.5670267620302</v>
      </c>
      <c r="D82" s="64"/>
      <c r="E82" s="34"/>
    </row>
    <row r="83" spans="1:5" ht="15">
      <c r="A83" s="69" t="s">
        <v>242</v>
      </c>
      <c r="B83" s="147" t="s">
        <v>302</v>
      </c>
      <c r="C83" s="148">
        <f>(((C29+C66+C76+C85+C106)-(C54-C55-C103-C104))/30*5*1.5%)/12</f>
        <v>2.0667320970109</v>
      </c>
      <c r="D83" s="64"/>
      <c r="E83" s="34"/>
    </row>
    <row r="84" spans="1:5" ht="15">
      <c r="A84" s="69" t="s">
        <v>244</v>
      </c>
      <c r="B84" s="147" t="s">
        <v>303</v>
      </c>
      <c r="C84" s="148">
        <f>(((C29+C66+C76+C85+C106)-(C54-C55-C103-C104))/30*15*0.78%)/12</f>
        <v>3.22410207133701</v>
      </c>
      <c r="D84" s="64"/>
      <c r="E84" s="34"/>
    </row>
    <row r="85" spans="1:5" ht="15">
      <c r="A85" s="69" t="s">
        <v>246</v>
      </c>
      <c r="B85" s="147" t="s">
        <v>304</v>
      </c>
      <c r="C85" s="148">
        <f>(((C35*3.95/12)+(C56*3.95*1.02%))/12+((C29+C34)*39.8%*3.95)*1.02%/12)</f>
        <v>14.0324963442717</v>
      </c>
      <c r="D85" s="91"/>
      <c r="E85" s="34"/>
    </row>
    <row r="86" spans="1:5" ht="15">
      <c r="A86" s="69" t="s">
        <v>248</v>
      </c>
      <c r="B86" s="149" t="s">
        <v>305</v>
      </c>
      <c r="C86" s="148">
        <v>0</v>
      </c>
      <c r="D86" s="64"/>
      <c r="E86" s="34"/>
    </row>
    <row r="87" spans="1:5" ht="15.75">
      <c r="A87" s="76"/>
      <c r="B87" s="150" t="s">
        <v>81</v>
      </c>
      <c r="C87" s="111">
        <f>SUM(C81:C86)</f>
        <v>100.89035727465</v>
      </c>
      <c r="D87" s="64"/>
      <c r="E87" s="34"/>
    </row>
    <row r="88" spans="1:5" ht="15.75">
      <c r="A88" s="112"/>
      <c r="B88" s="112"/>
      <c r="C88" s="112"/>
      <c r="D88" s="34"/>
      <c r="E88" s="64"/>
    </row>
    <row r="89" spans="1:5" ht="15">
      <c r="A89" s="151"/>
      <c r="B89" s="152" t="s">
        <v>306</v>
      </c>
      <c r="C89" s="152"/>
      <c r="D89" s="64"/>
      <c r="E89" s="34"/>
    </row>
    <row r="90" spans="1:5" ht="15">
      <c r="A90" s="66" t="s">
        <v>307</v>
      </c>
      <c r="B90" s="145" t="s">
        <v>308</v>
      </c>
      <c r="C90" s="146" t="s">
        <v>237</v>
      </c>
      <c r="D90" s="64"/>
      <c r="E90" s="34"/>
    </row>
    <row r="91" spans="1:5" ht="15">
      <c r="A91" s="69" t="s">
        <v>238</v>
      </c>
      <c r="B91" s="153" t="s">
        <v>309</v>
      </c>
      <c r="C91" s="154">
        <v>0</v>
      </c>
      <c r="D91" s="64"/>
      <c r="E91" s="34"/>
    </row>
    <row r="92" spans="1:5" ht="15.75">
      <c r="A92" s="155"/>
      <c r="B92" s="150" t="s">
        <v>81</v>
      </c>
      <c r="C92" s="156">
        <v>0</v>
      </c>
      <c r="D92" s="157"/>
      <c r="E92" s="34"/>
    </row>
    <row r="93" spans="1:5" ht="15.75">
      <c r="A93" s="112"/>
      <c r="B93" s="112"/>
      <c r="C93" s="112"/>
      <c r="D93" s="34"/>
      <c r="E93" s="64"/>
    </row>
    <row r="94" spans="1:5" ht="15">
      <c r="A94" s="114"/>
      <c r="B94" s="123" t="s">
        <v>310</v>
      </c>
      <c r="C94" s="124"/>
      <c r="D94" s="64"/>
      <c r="E94" s="34"/>
    </row>
    <row r="95" spans="1:5" ht="15">
      <c r="A95" s="66">
        <v>4</v>
      </c>
      <c r="B95" s="125" t="s">
        <v>311</v>
      </c>
      <c r="C95" s="126" t="s">
        <v>255</v>
      </c>
      <c r="D95" s="64"/>
      <c r="E95" s="34"/>
    </row>
    <row r="96" spans="1:5" ht="15">
      <c r="A96" s="69" t="s">
        <v>298</v>
      </c>
      <c r="B96" s="70" t="s">
        <v>299</v>
      </c>
      <c r="C96" s="71">
        <f>C87</f>
        <v>100.89035727465</v>
      </c>
      <c r="D96" s="158"/>
      <c r="E96" s="159"/>
    </row>
    <row r="97" spans="1:5" ht="15">
      <c r="A97" s="69" t="s">
        <v>307</v>
      </c>
      <c r="B97" s="70" t="s">
        <v>308</v>
      </c>
      <c r="C97" s="71">
        <v>0</v>
      </c>
      <c r="D97" s="64"/>
      <c r="E97" s="34"/>
    </row>
    <row r="98" spans="1:5" ht="15.75">
      <c r="A98" s="76"/>
      <c r="B98" s="127" t="s">
        <v>258</v>
      </c>
      <c r="C98" s="78">
        <f>SUM(C96:C97)</f>
        <v>100.89035727465</v>
      </c>
      <c r="D98" s="64"/>
      <c r="E98" s="34"/>
    </row>
    <row r="99" spans="1:5" ht="15.75">
      <c r="A99" s="34"/>
      <c r="B99" s="34"/>
      <c r="C99" s="34"/>
      <c r="D99" s="34"/>
      <c r="E99" s="34"/>
    </row>
    <row r="100" spans="1:5" ht="15">
      <c r="A100" s="160"/>
      <c r="B100" s="142" t="s">
        <v>312</v>
      </c>
      <c r="C100" s="161"/>
      <c r="D100" s="34"/>
      <c r="E100" s="34"/>
    </row>
    <row r="101" spans="1:5" ht="15">
      <c r="A101" s="162">
        <v>5</v>
      </c>
      <c r="B101" s="163" t="s">
        <v>313</v>
      </c>
      <c r="C101" s="68" t="s">
        <v>237</v>
      </c>
      <c r="D101" s="34"/>
      <c r="E101" s="34"/>
    </row>
    <row r="102" spans="1:5" ht="15">
      <c r="A102" s="164" t="s">
        <v>238</v>
      </c>
      <c r="B102" s="165" t="s">
        <v>314</v>
      </c>
      <c r="C102" s="166">
        <f>'An IID Uniformes'!H53</f>
        <v>87.7783333333334</v>
      </c>
      <c r="D102" s="34"/>
      <c r="E102" s="34"/>
    </row>
    <row r="103" spans="1:5" ht="15">
      <c r="A103" s="164" t="s">
        <v>240</v>
      </c>
      <c r="B103" s="167" t="s">
        <v>315</v>
      </c>
      <c r="C103" s="168">
        <f>'An IIC Relacao Materiais'!F37</f>
        <v>1160</v>
      </c>
      <c r="D103" s="169"/>
      <c r="E103" s="169"/>
    </row>
    <row r="104" spans="1:5" ht="15">
      <c r="A104" s="164" t="s">
        <v>242</v>
      </c>
      <c r="B104" s="165" t="s">
        <v>316</v>
      </c>
      <c r="C104" s="170">
        <f>'An IIB Relacao Equip'!F31</f>
        <v>767.484366666667</v>
      </c>
      <c r="D104" s="169"/>
      <c r="E104" s="34"/>
    </row>
    <row r="105" spans="1:5" ht="15">
      <c r="A105" s="171" t="s">
        <v>244</v>
      </c>
      <c r="B105" s="172" t="s">
        <v>317</v>
      </c>
      <c r="C105" s="173">
        <v>0</v>
      </c>
      <c r="D105" s="34"/>
      <c r="E105" s="34"/>
    </row>
    <row r="106" spans="1:5" ht="15.75">
      <c r="A106" s="174"/>
      <c r="B106" s="175" t="s">
        <v>318</v>
      </c>
      <c r="C106" s="176">
        <f>C102+C103+C104</f>
        <v>2015.2627</v>
      </c>
      <c r="D106" s="177"/>
      <c r="E106" s="34"/>
    </row>
    <row r="107" spans="1:5" ht="15.75">
      <c r="A107" s="178"/>
      <c r="B107" s="179"/>
      <c r="C107" s="180"/>
      <c r="D107" s="180"/>
      <c r="E107" s="34"/>
    </row>
    <row r="108" spans="1:5" ht="15">
      <c r="A108" s="181"/>
      <c r="B108" s="81" t="s">
        <v>319</v>
      </c>
      <c r="C108" s="81"/>
      <c r="D108" s="81"/>
      <c r="E108" s="34"/>
    </row>
    <row r="109" spans="1:5" ht="15">
      <c r="A109" s="162">
        <v>6</v>
      </c>
      <c r="B109" s="145" t="s">
        <v>320</v>
      </c>
      <c r="C109" s="182" t="s">
        <v>263</v>
      </c>
      <c r="D109" s="146" t="s">
        <v>237</v>
      </c>
      <c r="E109" s="34"/>
    </row>
    <row r="110" spans="1:5" ht="15">
      <c r="A110" s="164" t="s">
        <v>238</v>
      </c>
      <c r="B110" s="183" t="s">
        <v>321</v>
      </c>
      <c r="C110" s="184">
        <v>4.47</v>
      </c>
      <c r="D110" s="86">
        <f>(C127)*C110/100</f>
        <v>348.357736808247</v>
      </c>
      <c r="E110" s="34"/>
    </row>
    <row r="111" spans="1:5" ht="15">
      <c r="A111" s="164" t="s">
        <v>240</v>
      </c>
      <c r="B111" s="183" t="s">
        <v>322</v>
      </c>
      <c r="C111" s="184">
        <v>3.06</v>
      </c>
      <c r="D111" s="86">
        <f>(C127+D110)*C111/100</f>
        <v>249.132828319763</v>
      </c>
      <c r="E111" s="34"/>
    </row>
    <row r="112" spans="1:5" ht="15">
      <c r="A112" s="164" t="s">
        <v>242</v>
      </c>
      <c r="B112" s="183" t="s">
        <v>323</v>
      </c>
      <c r="C112" s="184"/>
      <c r="D112" s="86"/>
      <c r="E112" s="34"/>
    </row>
    <row r="113" spans="1:5" ht="15">
      <c r="A113" s="164"/>
      <c r="B113" s="183" t="s">
        <v>324</v>
      </c>
      <c r="C113" s="184">
        <f>3+0.65</f>
        <v>3.65</v>
      </c>
      <c r="D113" s="86">
        <f>((C127+D110+D111)/(1-(C113+C115)/100))*C113/100</f>
        <v>335.261730885723</v>
      </c>
      <c r="E113" s="34"/>
    </row>
    <row r="114" spans="1:5" ht="15">
      <c r="A114" s="164"/>
      <c r="B114" s="183" t="s">
        <v>325</v>
      </c>
      <c r="C114" s="184"/>
      <c r="D114" s="86"/>
      <c r="E114" s="34"/>
    </row>
    <row r="115" spans="1:5" ht="15">
      <c r="A115" s="164"/>
      <c r="B115" s="183" t="s">
        <v>326</v>
      </c>
      <c r="C115" s="185">
        <v>5</v>
      </c>
      <c r="D115" s="86">
        <f>((C127+D110+D111)/(1-(C113+C115)/100))*C115/100</f>
        <v>459.262645048935</v>
      </c>
      <c r="E115" s="34"/>
    </row>
    <row r="116" spans="1:5" ht="15">
      <c r="A116" s="164"/>
      <c r="B116" s="183" t="s">
        <v>327</v>
      </c>
      <c r="C116" s="184"/>
      <c r="D116" s="86"/>
      <c r="E116" s="34"/>
    </row>
    <row r="117" spans="1:5" ht="15.75">
      <c r="A117" s="186"/>
      <c r="B117" s="150" t="s">
        <v>81</v>
      </c>
      <c r="C117" s="187">
        <f>SUM(C110:C116)</f>
        <v>16.18</v>
      </c>
      <c r="D117" s="111">
        <f>SUM(D110:D116)</f>
        <v>1392.01494106267</v>
      </c>
      <c r="E117" s="34"/>
    </row>
    <row r="118" spans="1:5" ht="15">
      <c r="A118" s="178"/>
      <c r="B118" s="179"/>
      <c r="C118" s="180"/>
      <c r="D118" s="180"/>
      <c r="E118" s="34"/>
    </row>
    <row r="119" spans="1:5" ht="15">
      <c r="A119" s="188" t="s">
        <v>328</v>
      </c>
      <c r="B119" s="188"/>
      <c r="C119" s="188"/>
      <c r="D119" s="189"/>
      <c r="E119" s="159"/>
    </row>
    <row r="120" spans="1:5" ht="15.75">
      <c r="A120" s="34"/>
      <c r="B120" s="189"/>
      <c r="C120" s="34"/>
      <c r="D120" s="34"/>
      <c r="E120" s="159"/>
    </row>
    <row r="121" spans="1:5" ht="15">
      <c r="A121" s="114"/>
      <c r="B121" s="190" t="s">
        <v>329</v>
      </c>
      <c r="C121" s="191" t="s">
        <v>237</v>
      </c>
      <c r="D121" s="159"/>
      <c r="E121" s="159"/>
    </row>
    <row r="122" spans="1:5" ht="15">
      <c r="A122" s="82" t="s">
        <v>238</v>
      </c>
      <c r="B122" s="183" t="s">
        <v>330</v>
      </c>
      <c r="C122" s="86">
        <f>C29</f>
        <v>2943.863</v>
      </c>
      <c r="D122" s="159"/>
      <c r="E122" s="159"/>
    </row>
    <row r="123" spans="1:5" ht="15">
      <c r="A123" s="82" t="s">
        <v>240</v>
      </c>
      <c r="B123" s="183" t="s">
        <v>331</v>
      </c>
      <c r="C123" s="86">
        <f>C66</f>
        <v>2537.8111715</v>
      </c>
      <c r="D123" s="159"/>
      <c r="E123" s="159"/>
    </row>
    <row r="124" spans="1:5" ht="15">
      <c r="A124" s="82" t="s">
        <v>242</v>
      </c>
      <c r="B124" s="183" t="s">
        <v>332</v>
      </c>
      <c r="C124" s="86">
        <f>C76</f>
        <v>195.410731141383</v>
      </c>
      <c r="D124" s="159"/>
      <c r="E124" s="159"/>
    </row>
    <row r="125" spans="1:5" ht="15">
      <c r="A125" s="82" t="s">
        <v>244</v>
      </c>
      <c r="B125" s="183" t="s">
        <v>333</v>
      </c>
      <c r="C125" s="86">
        <f>C98</f>
        <v>100.89035727465</v>
      </c>
      <c r="D125" s="159"/>
      <c r="E125" s="159"/>
    </row>
    <row r="126" spans="1:5" ht="15">
      <c r="A126" s="82" t="s">
        <v>246</v>
      </c>
      <c r="B126" s="183" t="s">
        <v>334</v>
      </c>
      <c r="C126" s="86">
        <f>C106</f>
        <v>2015.2627</v>
      </c>
      <c r="D126" s="159"/>
      <c r="E126" s="159"/>
    </row>
    <row r="127" spans="1:5" ht="15">
      <c r="A127" s="82"/>
      <c r="B127" s="182" t="s">
        <v>335</v>
      </c>
      <c r="C127" s="192">
        <f>SUM(C122:C126)</f>
        <v>7793.23795991603</v>
      </c>
      <c r="D127" s="159"/>
      <c r="E127" s="159"/>
    </row>
    <row r="128" spans="1:5" ht="15">
      <c r="A128" s="82" t="s">
        <v>248</v>
      </c>
      <c r="B128" s="183" t="s">
        <v>336</v>
      </c>
      <c r="C128" s="86">
        <f>D117</f>
        <v>1392.01494106267</v>
      </c>
      <c r="D128" s="159"/>
      <c r="E128" s="159"/>
    </row>
    <row r="129" spans="1:5" ht="15">
      <c r="A129" s="82"/>
      <c r="B129" s="145" t="s">
        <v>337</v>
      </c>
      <c r="C129" s="192">
        <f>SUM(C127:C128)</f>
        <v>9185.2529009787</v>
      </c>
      <c r="D129" s="159"/>
      <c r="E129" s="159"/>
    </row>
    <row r="130" spans="1:5" ht="15">
      <c r="A130" s="198"/>
      <c r="B130" s="145" t="s">
        <v>338</v>
      </c>
      <c r="C130" s="90">
        <f>2*C129</f>
        <v>18370.5058019574</v>
      </c>
      <c r="D130" s="159"/>
      <c r="E130" s="159"/>
    </row>
    <row r="131" spans="1:5" ht="15.75">
      <c r="A131" s="76"/>
      <c r="B131" s="193" t="s">
        <v>339</v>
      </c>
      <c r="C131" s="194">
        <f>C129/C29</f>
        <v>3.12013599171521</v>
      </c>
      <c r="D131" s="159"/>
      <c r="E131" s="159"/>
    </row>
    <row r="132" spans="1:5" ht="15">
      <c r="A132" s="34"/>
      <c r="B132" s="189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">
      <c r="A134" s="181"/>
      <c r="B134" s="81" t="s">
        <v>340</v>
      </c>
      <c r="C134" s="81"/>
      <c r="D134" s="81"/>
      <c r="E134" s="34"/>
    </row>
    <row r="135" spans="1:5" ht="15">
      <c r="A135" s="162">
        <v>6</v>
      </c>
      <c r="B135" s="145" t="s">
        <v>320</v>
      </c>
      <c r="C135" s="182" t="s">
        <v>263</v>
      </c>
      <c r="D135" s="146" t="s">
        <v>237</v>
      </c>
      <c r="E135" s="34"/>
    </row>
    <row r="136" spans="1:5" ht="15">
      <c r="A136" s="164" t="s">
        <v>238</v>
      </c>
      <c r="B136" s="183" t="s">
        <v>321</v>
      </c>
      <c r="C136" s="184">
        <v>4.47</v>
      </c>
      <c r="D136" s="86">
        <f>(C153)*C136/100</f>
        <v>348.357736808247</v>
      </c>
      <c r="E136" s="34"/>
    </row>
    <row r="137" spans="1:5" ht="15">
      <c r="A137" s="164" t="s">
        <v>240</v>
      </c>
      <c r="B137" s="183" t="s">
        <v>322</v>
      </c>
      <c r="C137" s="184">
        <v>3.06</v>
      </c>
      <c r="D137" s="86">
        <f>(C153+D136)*C137/100</f>
        <v>249.132828319763</v>
      </c>
      <c r="E137" s="34"/>
    </row>
    <row r="138" spans="1:5" ht="15">
      <c r="A138" s="164" t="s">
        <v>242</v>
      </c>
      <c r="B138" s="183" t="s">
        <v>323</v>
      </c>
      <c r="C138" s="184"/>
      <c r="D138" s="86"/>
      <c r="E138" s="34"/>
    </row>
    <row r="139" spans="1:5" ht="15">
      <c r="A139" s="164"/>
      <c r="B139" s="183" t="s">
        <v>341</v>
      </c>
      <c r="C139" s="107">
        <f>1.65+7.6</f>
        <v>9.25</v>
      </c>
      <c r="D139" s="86">
        <f>((C153+D136+D137)/(1-(C139+C141)/100))*C139/100</f>
        <v>905.122319028075</v>
      </c>
      <c r="E139" s="34"/>
    </row>
    <row r="140" spans="1:5" ht="15">
      <c r="A140" s="164"/>
      <c r="B140" s="183" t="s">
        <v>325</v>
      </c>
      <c r="C140" s="184"/>
      <c r="D140" s="86"/>
      <c r="E140" s="34"/>
    </row>
    <row r="141" spans="1:5" ht="15">
      <c r="A141" s="164"/>
      <c r="B141" s="183" t="s">
        <v>326</v>
      </c>
      <c r="C141" s="185">
        <v>5</v>
      </c>
      <c r="D141" s="86">
        <f>((C153+D136+D137)/(1-(C139+C141)/100))*C141/100</f>
        <v>489.255307582743</v>
      </c>
      <c r="E141" s="34"/>
    </row>
    <row r="142" spans="1:5" ht="15">
      <c r="A142" s="164"/>
      <c r="B142" s="183" t="s">
        <v>327</v>
      </c>
      <c r="C142" s="184"/>
      <c r="D142" s="86"/>
      <c r="E142" s="34"/>
    </row>
    <row r="143" spans="1:5" ht="15.75">
      <c r="A143" s="186"/>
      <c r="B143" s="150" t="s">
        <v>81</v>
      </c>
      <c r="C143" s="187">
        <f>SUM(C136:C142)</f>
        <v>21.78</v>
      </c>
      <c r="D143" s="111">
        <f>SUM(D136:D142)</f>
        <v>1991.86819173883</v>
      </c>
      <c r="E143" s="34"/>
    </row>
    <row r="144" spans="1:5" ht="15">
      <c r="A144" s="112"/>
      <c r="B144" s="112"/>
      <c r="C144" s="112"/>
      <c r="D144" s="112"/>
      <c r="E144" s="34"/>
    </row>
    <row r="145" spans="1:5" ht="15">
      <c r="A145" s="195" t="s">
        <v>328</v>
      </c>
      <c r="B145" s="195"/>
      <c r="C145" s="195"/>
      <c r="D145" s="196"/>
      <c r="E145" s="34"/>
    </row>
    <row r="146" spans="1:5" ht="15.75">
      <c r="A146" s="112"/>
      <c r="B146" s="197"/>
      <c r="C146" s="112"/>
      <c r="D146" s="196"/>
      <c r="E146" s="34"/>
    </row>
    <row r="147" spans="1:5" ht="15">
      <c r="A147" s="114"/>
      <c r="B147" s="190" t="s">
        <v>329</v>
      </c>
      <c r="C147" s="191" t="s">
        <v>237</v>
      </c>
      <c r="D147" s="196"/>
      <c r="E147" s="34"/>
    </row>
    <row r="148" spans="1:5" ht="15">
      <c r="A148" s="82" t="s">
        <v>238</v>
      </c>
      <c r="B148" s="183" t="s">
        <v>330</v>
      </c>
      <c r="C148" s="86">
        <f>C122</f>
        <v>2943.863</v>
      </c>
      <c r="D148" s="196"/>
      <c r="E148" s="34"/>
    </row>
    <row r="149" spans="1:5" ht="15">
      <c r="A149" s="82" t="s">
        <v>240</v>
      </c>
      <c r="B149" s="183" t="s">
        <v>331</v>
      </c>
      <c r="C149" s="86">
        <f>C123</f>
        <v>2537.8111715</v>
      </c>
      <c r="D149" s="196"/>
      <c r="E149" s="34"/>
    </row>
    <row r="150" spans="1:5" ht="15">
      <c r="A150" s="82" t="s">
        <v>242</v>
      </c>
      <c r="B150" s="183" t="s">
        <v>332</v>
      </c>
      <c r="C150" s="86">
        <f>C124</f>
        <v>195.410731141383</v>
      </c>
      <c r="D150" s="196"/>
      <c r="E150" s="34"/>
    </row>
    <row r="151" spans="1:5" ht="15">
      <c r="A151" s="82" t="s">
        <v>244</v>
      </c>
      <c r="B151" s="183" t="s">
        <v>333</v>
      </c>
      <c r="C151" s="86">
        <f>C125</f>
        <v>100.89035727465</v>
      </c>
      <c r="D151" s="196"/>
      <c r="E151" s="34"/>
    </row>
    <row r="152" spans="1:5" ht="15">
      <c r="A152" s="82" t="s">
        <v>246</v>
      </c>
      <c r="B152" s="183" t="s">
        <v>334</v>
      </c>
      <c r="C152" s="86">
        <f>C126</f>
        <v>2015.2627</v>
      </c>
      <c r="D152" s="196"/>
      <c r="E152" s="34"/>
    </row>
    <row r="153" spans="1:5" ht="15">
      <c r="A153" s="82"/>
      <c r="B153" s="182" t="s">
        <v>335</v>
      </c>
      <c r="C153" s="192">
        <f>SUM(C148:C152)</f>
        <v>7793.23795991603</v>
      </c>
      <c r="D153" s="196"/>
      <c r="E153" s="34"/>
    </row>
    <row r="154" spans="1:5" ht="15">
      <c r="A154" s="82" t="s">
        <v>248</v>
      </c>
      <c r="B154" s="183" t="s">
        <v>336</v>
      </c>
      <c r="C154" s="86">
        <f>D143</f>
        <v>1991.86819173883</v>
      </c>
      <c r="D154" s="196"/>
      <c r="E154" s="34"/>
    </row>
    <row r="155" spans="1:5" ht="15">
      <c r="A155" s="82"/>
      <c r="B155" s="145" t="s">
        <v>337</v>
      </c>
      <c r="C155" s="192">
        <f>SUM(C153:C154)</f>
        <v>9785.10615165486</v>
      </c>
      <c r="D155" s="196"/>
      <c r="E155" s="34"/>
    </row>
    <row r="156" spans="1:5" ht="15">
      <c r="A156" s="198"/>
      <c r="B156" s="145" t="s">
        <v>338</v>
      </c>
      <c r="C156" s="90">
        <f>2*C155</f>
        <v>19570.2123033097</v>
      </c>
      <c r="D156" s="196"/>
      <c r="E156" s="34"/>
    </row>
    <row r="157" spans="1:5" ht="15.75">
      <c r="A157" s="76"/>
      <c r="B157" s="193" t="s">
        <v>339</v>
      </c>
      <c r="C157" s="194">
        <f>C155/C29</f>
        <v>3.32389997484763</v>
      </c>
      <c r="D157" s="196"/>
      <c r="E157" s="34"/>
    </row>
  </sheetData>
  <mergeCells count="24">
    <mergeCell ref="A1:E1"/>
    <mergeCell ref="A2:E2"/>
    <mergeCell ref="A4:E4"/>
    <mergeCell ref="A5:E5"/>
    <mergeCell ref="B7:E7"/>
    <mergeCell ref="B9:E9"/>
    <mergeCell ref="C11:E11"/>
    <mergeCell ref="C12:E12"/>
    <mergeCell ref="C13:E13"/>
    <mergeCell ref="C14:E14"/>
    <mergeCell ref="C15:E15"/>
    <mergeCell ref="C16:E16"/>
    <mergeCell ref="C17:E17"/>
    <mergeCell ref="C18:E18"/>
    <mergeCell ref="A21:C21"/>
    <mergeCell ref="B30:D30"/>
    <mergeCell ref="B31:C31"/>
    <mergeCell ref="B32:C32"/>
    <mergeCell ref="A39:D39"/>
    <mergeCell ref="B89:C89"/>
    <mergeCell ref="B108:D108"/>
    <mergeCell ref="A119:C119"/>
    <mergeCell ref="B134:D134"/>
    <mergeCell ref="A145:C145"/>
  </mergeCells>
  <printOptions/>
  <pageMargins left="0.511811024" right="0.511811024" top="0.787401575" bottom="0.787401575" header="0.31496062" footer="0.31496062"/>
  <pageSetup horizontalDpi="600" verticalDpi="600" orientation="portrait" paperSize="9" scale="84"/>
  <headerFooter>
    <oddHeader>&amp;L&amp;G&amp;CProcesso 23069.167552/2021-41
PE 88/2021&amp;R&amp;G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57"/>
  <sheetViews>
    <sheetView workbookViewId="0" topLeftCell="A1">
      <selection activeCell="B9" sqref="B9:E9"/>
    </sheetView>
  </sheetViews>
  <sheetFormatPr defaultColWidth="8.8515625" defaultRowHeight="15" outlineLevelCol="7"/>
  <cols>
    <col min="2" max="2" width="64.57421875" style="0" customWidth="1"/>
    <col min="3" max="3" width="12.28125" style="0" customWidth="1"/>
    <col min="4" max="4" width="10.7109375" style="0" customWidth="1"/>
    <col min="5" max="5" width="12.8515625" style="0" customWidth="1"/>
    <col min="6" max="6" width="14.00390625" style="0" customWidth="1"/>
    <col min="7" max="7" width="10.8515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8"/>
      <c r="G1" s="28"/>
    </row>
    <row r="2" spans="1:7" ht="18.75">
      <c r="A2" s="2" t="s">
        <v>1</v>
      </c>
      <c r="B2" s="2"/>
      <c r="C2" s="2"/>
      <c r="D2" s="2"/>
      <c r="E2" s="2"/>
      <c r="F2" s="29"/>
      <c r="G2" s="29"/>
    </row>
    <row r="4" spans="1:8" ht="14.4" customHeight="1">
      <c r="A4" s="30" t="s">
        <v>354</v>
      </c>
      <c r="B4" s="30"/>
      <c r="C4" s="30"/>
      <c r="D4" s="30"/>
      <c r="E4" s="30"/>
      <c r="F4" s="31"/>
      <c r="G4" s="31"/>
      <c r="H4" s="4"/>
    </row>
    <row r="5" spans="1:8" ht="38.4" customHeight="1">
      <c r="A5" s="32" t="s">
        <v>5</v>
      </c>
      <c r="B5" s="32"/>
      <c r="C5" s="32"/>
      <c r="D5" s="32"/>
      <c r="E5" s="32"/>
      <c r="F5" s="33"/>
      <c r="G5" s="33"/>
      <c r="H5" s="6"/>
    </row>
    <row r="7" spans="1:5" ht="15">
      <c r="A7" s="34"/>
      <c r="B7" s="35" t="s">
        <v>346</v>
      </c>
      <c r="C7" s="35"/>
      <c r="D7" s="35"/>
      <c r="E7" s="35"/>
    </row>
    <row r="8" spans="1:5" ht="15">
      <c r="A8" s="34"/>
      <c r="B8" s="34"/>
      <c r="C8" s="34"/>
      <c r="D8" s="34"/>
      <c r="E8" s="34"/>
    </row>
    <row r="9" spans="1:5" ht="15">
      <c r="A9" s="34"/>
      <c r="B9" s="36" t="s">
        <v>221</v>
      </c>
      <c r="C9" s="36"/>
      <c r="D9" s="36"/>
      <c r="E9" s="36"/>
    </row>
    <row r="10" spans="1:5" ht="15.75">
      <c r="A10" s="34"/>
      <c r="B10" s="37" t="s">
        <v>222</v>
      </c>
      <c r="C10" s="38"/>
      <c r="D10" s="38"/>
      <c r="E10" s="38"/>
    </row>
    <row r="11" spans="1:5" ht="15">
      <c r="A11" s="34"/>
      <c r="B11" s="39" t="s">
        <v>223</v>
      </c>
      <c r="C11" s="40" t="s">
        <v>355</v>
      </c>
      <c r="D11" s="41"/>
      <c r="E11" s="42"/>
    </row>
    <row r="12" spans="1:5" ht="15">
      <c r="A12" s="34"/>
      <c r="B12" s="43" t="s">
        <v>225</v>
      </c>
      <c r="C12" s="44">
        <v>15.21</v>
      </c>
      <c r="D12" s="45"/>
      <c r="E12" s="46"/>
    </row>
    <row r="13" spans="1:5" ht="15">
      <c r="A13" s="34"/>
      <c r="B13" s="43" t="s">
        <v>226</v>
      </c>
      <c r="C13" s="47" t="s">
        <v>353</v>
      </c>
      <c r="D13" s="48"/>
      <c r="E13" s="49"/>
    </row>
    <row r="14" spans="1:5" ht="15">
      <c r="A14" s="34"/>
      <c r="B14" s="43" t="s">
        <v>228</v>
      </c>
      <c r="C14" s="50">
        <v>2264.51</v>
      </c>
      <c r="D14" s="51"/>
      <c r="E14" s="52"/>
    </row>
    <row r="15" spans="1:5" ht="15">
      <c r="A15" s="34"/>
      <c r="B15" s="43" t="s">
        <v>229</v>
      </c>
      <c r="C15" s="44" t="s">
        <v>230</v>
      </c>
      <c r="D15" s="45"/>
      <c r="E15" s="46"/>
    </row>
    <row r="16" spans="1:5" ht="15">
      <c r="A16" s="34"/>
      <c r="B16" s="43" t="s">
        <v>231</v>
      </c>
      <c r="C16" s="53">
        <v>1</v>
      </c>
      <c r="D16" s="54"/>
      <c r="E16" s="55"/>
    </row>
    <row r="17" spans="1:5" ht="15">
      <c r="A17" s="34"/>
      <c r="B17" s="43" t="s">
        <v>232</v>
      </c>
      <c r="C17" s="56">
        <v>43831</v>
      </c>
      <c r="D17" s="57"/>
      <c r="E17" s="58"/>
    </row>
    <row r="18" spans="1:5" ht="15.75">
      <c r="A18" s="34"/>
      <c r="B18" s="59" t="s">
        <v>233</v>
      </c>
      <c r="C18" s="60" t="s">
        <v>234</v>
      </c>
      <c r="D18" s="61"/>
      <c r="E18" s="62"/>
    </row>
    <row r="19" spans="1:5" ht="15">
      <c r="A19" s="34"/>
      <c r="B19" s="34"/>
      <c r="C19" s="63"/>
      <c r="D19" s="64"/>
      <c r="E19" s="64"/>
    </row>
    <row r="20" spans="1:5" ht="15.75">
      <c r="A20" s="34"/>
      <c r="B20" s="34"/>
      <c r="C20" s="64"/>
      <c r="D20" s="64"/>
      <c r="E20" s="64"/>
    </row>
    <row r="21" spans="1:5" ht="15">
      <c r="A21" s="65" t="s">
        <v>235</v>
      </c>
      <c r="B21" s="65"/>
      <c r="C21" s="65"/>
      <c r="D21" s="64"/>
      <c r="E21" s="64"/>
    </row>
    <row r="22" spans="1:5" ht="15">
      <c r="A22" s="66">
        <v>1</v>
      </c>
      <c r="B22" s="67" t="s">
        <v>236</v>
      </c>
      <c r="C22" s="68" t="s">
        <v>237</v>
      </c>
      <c r="D22" s="64"/>
      <c r="E22" s="64"/>
    </row>
    <row r="23" spans="1:5" ht="15">
      <c r="A23" s="69" t="s">
        <v>238</v>
      </c>
      <c r="B23" s="70" t="s">
        <v>239</v>
      </c>
      <c r="C23" s="71">
        <f>C14</f>
        <v>2264.51</v>
      </c>
      <c r="D23" s="64"/>
      <c r="E23" s="64"/>
    </row>
    <row r="24" spans="1:5" ht="15">
      <c r="A24" s="69" t="s">
        <v>240</v>
      </c>
      <c r="B24" s="70" t="s">
        <v>241</v>
      </c>
      <c r="C24" s="72">
        <f>30%*C23</f>
        <v>679.353</v>
      </c>
      <c r="D24" s="64"/>
      <c r="E24" s="64"/>
    </row>
    <row r="25" spans="1:5" ht="15">
      <c r="A25" s="69" t="s">
        <v>242</v>
      </c>
      <c r="B25" s="70" t="s">
        <v>243</v>
      </c>
      <c r="C25" s="72"/>
      <c r="D25" s="64"/>
      <c r="E25" s="34"/>
    </row>
    <row r="26" spans="1:5" ht="15">
      <c r="A26" s="69" t="s">
        <v>244</v>
      </c>
      <c r="B26" s="73" t="s">
        <v>245</v>
      </c>
      <c r="C26" s="72">
        <f>(C14/220)*20%*(1.1429*7)*C12</f>
        <v>250.5053725083</v>
      </c>
      <c r="D26" s="64"/>
      <c r="E26" s="34"/>
    </row>
    <row r="27" spans="1:5" ht="15">
      <c r="A27" s="69" t="s">
        <v>246</v>
      </c>
      <c r="B27" s="73" t="s">
        <v>247</v>
      </c>
      <c r="C27" s="72"/>
      <c r="D27" s="64"/>
      <c r="E27" s="34"/>
    </row>
    <row r="28" spans="1:5" ht="15">
      <c r="A28" s="69" t="s">
        <v>248</v>
      </c>
      <c r="B28" s="74" t="s">
        <v>249</v>
      </c>
      <c r="C28" s="75"/>
      <c r="D28" s="64"/>
      <c r="E28" s="34"/>
    </row>
    <row r="29" spans="1:5" ht="15.75">
      <c r="A29" s="76"/>
      <c r="B29" s="77" t="s">
        <v>250</v>
      </c>
      <c r="C29" s="78">
        <f>SUM(C23:C28)</f>
        <v>3194.3683725083</v>
      </c>
      <c r="D29" s="64"/>
      <c r="E29" s="34"/>
    </row>
    <row r="30" spans="1:5" ht="15.75">
      <c r="A30" s="34"/>
      <c r="B30" s="79"/>
      <c r="C30" s="79"/>
      <c r="D30" s="79"/>
      <c r="E30" s="64"/>
    </row>
    <row r="31" spans="1:5" ht="15">
      <c r="A31" s="80"/>
      <c r="B31" s="81" t="s">
        <v>251</v>
      </c>
      <c r="C31" s="81"/>
      <c r="D31" s="64"/>
      <c r="E31" s="34"/>
    </row>
    <row r="32" spans="1:5" ht="15">
      <c r="A32" s="82"/>
      <c r="B32" s="83" t="s">
        <v>252</v>
      </c>
      <c r="C32" s="83"/>
      <c r="D32" s="64"/>
      <c r="E32" s="34"/>
    </row>
    <row r="33" spans="1:5" ht="15">
      <c r="A33" s="66" t="s">
        <v>253</v>
      </c>
      <c r="B33" s="84" t="s">
        <v>254</v>
      </c>
      <c r="C33" s="68" t="s">
        <v>255</v>
      </c>
      <c r="D33" s="64"/>
      <c r="E33" s="34"/>
    </row>
    <row r="34" spans="1:5" ht="15">
      <c r="A34" s="69" t="s">
        <v>238</v>
      </c>
      <c r="B34" s="85" t="s">
        <v>256</v>
      </c>
      <c r="C34" s="86">
        <f>C29*8.33%</f>
        <v>266.090885429941</v>
      </c>
      <c r="D34" s="64"/>
      <c r="E34" s="34"/>
    </row>
    <row r="35" spans="1:5" ht="15">
      <c r="A35" s="69" t="s">
        <v>240</v>
      </c>
      <c r="B35" s="85" t="s">
        <v>257</v>
      </c>
      <c r="C35" s="86">
        <f>C29*12.1%</f>
        <v>386.518573073504</v>
      </c>
      <c r="D35" s="87"/>
      <c r="E35" s="34"/>
    </row>
    <row r="36" spans="1:5" ht="15">
      <c r="A36" s="88"/>
      <c r="B36" s="89" t="s">
        <v>258</v>
      </c>
      <c r="C36" s="90">
        <f>SUM(C34:C35)</f>
        <v>652.609458503446</v>
      </c>
      <c r="D36" s="91"/>
      <c r="E36" s="34"/>
    </row>
    <row r="37" spans="1:5" ht="36">
      <c r="A37" s="92" t="s">
        <v>242</v>
      </c>
      <c r="B37" s="93" t="s">
        <v>259</v>
      </c>
      <c r="C37" s="94">
        <f>C29*7.82%</f>
        <v>249.799606730149</v>
      </c>
      <c r="D37" s="91"/>
      <c r="E37" s="34"/>
    </row>
    <row r="38" spans="1:5" ht="15.75">
      <c r="A38" s="34"/>
      <c r="B38" s="34"/>
      <c r="C38" s="34"/>
      <c r="D38" s="34"/>
      <c r="E38" s="64"/>
    </row>
    <row r="39" spans="1:5" ht="32.4" customHeight="1">
      <c r="A39" s="95" t="s">
        <v>260</v>
      </c>
      <c r="B39" s="95"/>
      <c r="C39" s="95"/>
      <c r="D39" s="95"/>
      <c r="E39" s="64"/>
    </row>
    <row r="40" spans="1:5" ht="15.75">
      <c r="A40" s="96" t="s">
        <v>261</v>
      </c>
      <c r="B40" s="97" t="s">
        <v>262</v>
      </c>
      <c r="C40" s="98" t="s">
        <v>263</v>
      </c>
      <c r="D40" s="99" t="s">
        <v>237</v>
      </c>
      <c r="E40" s="64"/>
    </row>
    <row r="41" spans="1:5" ht="15.75">
      <c r="A41" s="100" t="s">
        <v>238</v>
      </c>
      <c r="B41" s="101" t="s">
        <v>264</v>
      </c>
      <c r="C41" s="102">
        <v>20</v>
      </c>
      <c r="D41" s="103">
        <f>(C$29*(C41/100))</f>
        <v>638.87367450166</v>
      </c>
      <c r="E41" s="64"/>
    </row>
    <row r="42" spans="1:5" ht="15.75">
      <c r="A42" s="100" t="s">
        <v>240</v>
      </c>
      <c r="B42" s="104" t="s">
        <v>265</v>
      </c>
      <c r="C42" s="105">
        <v>2.5</v>
      </c>
      <c r="D42" s="103">
        <f aca="true" t="shared" si="0" ref="D42:D48">(C$29*(C42/100))</f>
        <v>79.8592093127075</v>
      </c>
      <c r="E42" s="64"/>
    </row>
    <row r="43" spans="1:5" ht="15.75">
      <c r="A43" s="100" t="s">
        <v>242</v>
      </c>
      <c r="B43" s="106" t="s">
        <v>266</v>
      </c>
      <c r="C43" s="107">
        <v>6</v>
      </c>
      <c r="D43" s="103">
        <f t="shared" si="0"/>
        <v>191.662102350498</v>
      </c>
      <c r="E43" s="64"/>
    </row>
    <row r="44" spans="1:5" ht="15.75">
      <c r="A44" s="100" t="s">
        <v>244</v>
      </c>
      <c r="B44" s="104" t="s">
        <v>267</v>
      </c>
      <c r="C44" s="105">
        <v>1.5</v>
      </c>
      <c r="D44" s="103">
        <f t="shared" si="0"/>
        <v>47.9155255876245</v>
      </c>
      <c r="E44" s="64"/>
    </row>
    <row r="45" spans="1:5" ht="15.75">
      <c r="A45" s="100" t="s">
        <v>246</v>
      </c>
      <c r="B45" s="104" t="s">
        <v>268</v>
      </c>
      <c r="C45" s="105">
        <v>1</v>
      </c>
      <c r="D45" s="103">
        <f t="shared" si="0"/>
        <v>31.943683725083</v>
      </c>
      <c r="E45" s="64"/>
    </row>
    <row r="46" spans="1:5" ht="15.75">
      <c r="A46" s="100" t="s">
        <v>248</v>
      </c>
      <c r="B46" s="104" t="s">
        <v>269</v>
      </c>
      <c r="C46" s="105">
        <v>0.6</v>
      </c>
      <c r="D46" s="103">
        <f t="shared" si="0"/>
        <v>19.1662102350498</v>
      </c>
      <c r="E46" s="64"/>
    </row>
    <row r="47" spans="1:5" ht="15.75">
      <c r="A47" s="100" t="s">
        <v>270</v>
      </c>
      <c r="B47" s="104" t="s">
        <v>271</v>
      </c>
      <c r="C47" s="105">
        <v>0.2</v>
      </c>
      <c r="D47" s="103">
        <f t="shared" si="0"/>
        <v>6.3887367450166</v>
      </c>
      <c r="E47" s="64"/>
    </row>
    <row r="48" spans="1:5" ht="15">
      <c r="A48" s="100" t="s">
        <v>272</v>
      </c>
      <c r="B48" s="106" t="s">
        <v>273</v>
      </c>
      <c r="C48" s="107">
        <v>8</v>
      </c>
      <c r="D48" s="103">
        <f t="shared" si="0"/>
        <v>255.549469800664</v>
      </c>
      <c r="E48" s="64"/>
    </row>
    <row r="49" spans="1:5" ht="15.75">
      <c r="A49" s="108"/>
      <c r="B49" s="109" t="s">
        <v>81</v>
      </c>
      <c r="C49" s="110">
        <f>SUM(C41:C48)</f>
        <v>39.8</v>
      </c>
      <c r="D49" s="111">
        <f>SUM(D41:D48)</f>
        <v>1271.3586122583</v>
      </c>
      <c r="E49" s="64"/>
    </row>
    <row r="50" spans="1:5" ht="15">
      <c r="A50" s="112"/>
      <c r="B50" s="113" t="s">
        <v>274</v>
      </c>
      <c r="C50" s="112"/>
      <c r="D50" s="112"/>
      <c r="E50" s="64"/>
    </row>
    <row r="51" spans="1:5" ht="15.75">
      <c r="A51" s="112"/>
      <c r="B51" s="113"/>
      <c r="C51" s="112"/>
      <c r="D51" s="112"/>
      <c r="E51" s="64"/>
    </row>
    <row r="52" spans="1:5" ht="15">
      <c r="A52" s="114"/>
      <c r="B52" s="115" t="s">
        <v>275</v>
      </c>
      <c r="C52" s="116"/>
      <c r="D52" s="64"/>
      <c r="E52" s="34"/>
    </row>
    <row r="53" spans="1:5" ht="15">
      <c r="A53" s="66" t="s">
        <v>276</v>
      </c>
      <c r="B53" s="67" t="s">
        <v>277</v>
      </c>
      <c r="C53" s="68" t="s">
        <v>237</v>
      </c>
      <c r="D53" s="64"/>
      <c r="E53" s="34"/>
    </row>
    <row r="54" spans="1:5" ht="15">
      <c r="A54" s="69" t="s">
        <v>238</v>
      </c>
      <c r="B54" s="117" t="s">
        <v>278</v>
      </c>
      <c r="C54" s="72">
        <f>(4.05*4*C12)-6%*C14</f>
        <v>110.5314</v>
      </c>
      <c r="D54" s="64"/>
      <c r="E54" s="34"/>
    </row>
    <row r="55" spans="1:5" ht="15">
      <c r="A55" s="69" t="s">
        <v>240</v>
      </c>
      <c r="B55" s="70" t="s">
        <v>279</v>
      </c>
      <c r="C55" s="72">
        <f>((29*C12)-(29*C12*10%))</f>
        <v>396.981</v>
      </c>
      <c r="D55" s="64"/>
      <c r="E55" s="34"/>
    </row>
    <row r="56" spans="1:5" ht="15">
      <c r="A56" s="69" t="s">
        <v>242</v>
      </c>
      <c r="B56" s="70" t="s">
        <v>280</v>
      </c>
      <c r="C56" s="72"/>
      <c r="D56" s="64"/>
      <c r="E56" s="34"/>
    </row>
    <row r="57" spans="1:5" ht="15">
      <c r="A57" s="69" t="s">
        <v>281</v>
      </c>
      <c r="B57" s="70" t="s">
        <v>282</v>
      </c>
      <c r="C57" s="72">
        <v>27</v>
      </c>
      <c r="D57" s="64"/>
      <c r="E57" s="34"/>
    </row>
    <row r="58" spans="1:5" ht="15">
      <c r="A58" s="88" t="s">
        <v>283</v>
      </c>
      <c r="B58" s="118" t="s">
        <v>284</v>
      </c>
      <c r="C58" s="119"/>
      <c r="D58" s="64"/>
      <c r="E58" s="34"/>
    </row>
    <row r="59" spans="1:5" ht="15.75">
      <c r="A59" s="76"/>
      <c r="B59" s="77" t="s">
        <v>285</v>
      </c>
      <c r="C59" s="78">
        <f>SUM(C54:C58)</f>
        <v>534.5124</v>
      </c>
      <c r="D59" s="64"/>
      <c r="E59" s="34"/>
    </row>
    <row r="60" spans="1:5" ht="15.75">
      <c r="A60" s="112"/>
      <c r="B60" s="120"/>
      <c r="C60" s="121"/>
      <c r="D60" s="122"/>
      <c r="E60" s="64"/>
    </row>
    <row r="61" spans="1:5" ht="15">
      <c r="A61" s="114"/>
      <c r="B61" s="123" t="s">
        <v>286</v>
      </c>
      <c r="C61" s="124"/>
      <c r="D61" s="64"/>
      <c r="E61" s="34"/>
    </row>
    <row r="62" spans="1:5" ht="15">
      <c r="A62" s="69">
        <v>2</v>
      </c>
      <c r="B62" s="125" t="s">
        <v>287</v>
      </c>
      <c r="C62" s="126" t="s">
        <v>255</v>
      </c>
      <c r="D62" s="64"/>
      <c r="E62" s="34"/>
    </row>
    <row r="63" spans="1:5" ht="15">
      <c r="A63" s="69" t="s">
        <v>253</v>
      </c>
      <c r="B63" s="70" t="s">
        <v>254</v>
      </c>
      <c r="C63" s="71">
        <f>C36</f>
        <v>652.609458503446</v>
      </c>
      <c r="D63" s="64"/>
      <c r="E63" s="34"/>
    </row>
    <row r="64" spans="1:5" ht="15">
      <c r="A64" s="69" t="s">
        <v>261</v>
      </c>
      <c r="B64" s="70" t="s">
        <v>262</v>
      </c>
      <c r="C64" s="71">
        <f>D49+C37</f>
        <v>1521.15821898845</v>
      </c>
      <c r="D64" s="64"/>
      <c r="E64" s="34"/>
    </row>
    <row r="65" spans="1:5" ht="15">
      <c r="A65" s="69" t="s">
        <v>276</v>
      </c>
      <c r="B65" s="70" t="s">
        <v>277</v>
      </c>
      <c r="C65" s="71">
        <f>C59</f>
        <v>534.5124</v>
      </c>
      <c r="D65" s="64"/>
      <c r="E65" s="34"/>
    </row>
    <row r="66" spans="1:5" ht="15.75">
      <c r="A66" s="76"/>
      <c r="B66" s="127" t="s">
        <v>258</v>
      </c>
      <c r="C66" s="78">
        <f>SUM(C63:C65)</f>
        <v>2708.2800774919</v>
      </c>
      <c r="D66" s="64"/>
      <c r="E66" s="34"/>
    </row>
    <row r="67" spans="1:5" ht="15.75">
      <c r="A67" s="34"/>
      <c r="B67" s="128"/>
      <c r="C67" s="122"/>
      <c r="D67" s="122"/>
      <c r="E67" s="64"/>
    </row>
    <row r="68" spans="1:5" ht="15">
      <c r="A68" s="129"/>
      <c r="B68" s="130" t="s">
        <v>288</v>
      </c>
      <c r="C68" s="131"/>
      <c r="D68" s="64"/>
      <c r="E68" s="34"/>
    </row>
    <row r="69" spans="1:5" ht="15">
      <c r="A69" s="132">
        <v>3</v>
      </c>
      <c r="B69" s="133" t="s">
        <v>289</v>
      </c>
      <c r="C69" s="134" t="s">
        <v>237</v>
      </c>
      <c r="D69" s="64"/>
      <c r="E69" s="34"/>
    </row>
    <row r="70" spans="1:5" ht="15">
      <c r="A70" s="135" t="s">
        <v>238</v>
      </c>
      <c r="B70" s="136" t="s">
        <v>290</v>
      </c>
      <c r="C70" s="137">
        <f>((C29+C34+C35)/12)*5%</f>
        <v>16.0290742958823</v>
      </c>
      <c r="D70" s="64"/>
      <c r="E70" s="34"/>
    </row>
    <row r="71" spans="1:5" ht="15">
      <c r="A71" s="135" t="s">
        <v>240</v>
      </c>
      <c r="B71" s="136" t="s">
        <v>291</v>
      </c>
      <c r="C71" s="138">
        <f>((C29+C34)/12)*5%*8%</f>
        <v>1.15348641931275</v>
      </c>
      <c r="D71" s="64"/>
      <c r="E71" s="34"/>
    </row>
    <row r="72" spans="1:5" ht="15">
      <c r="A72" s="135" t="s">
        <v>242</v>
      </c>
      <c r="B72" s="136" t="s">
        <v>292</v>
      </c>
      <c r="C72" s="138">
        <v>0</v>
      </c>
      <c r="D72" s="64"/>
      <c r="E72" s="34"/>
    </row>
    <row r="73" spans="1:5" ht="15">
      <c r="A73" s="135" t="s">
        <v>244</v>
      </c>
      <c r="B73" s="136" t="s">
        <v>293</v>
      </c>
      <c r="C73" s="138">
        <f>(((C29+C56)/30/12)*7)</f>
        <v>62.1127183543281</v>
      </c>
      <c r="D73" s="64"/>
      <c r="E73" s="34"/>
    </row>
    <row r="74" spans="1:5" ht="15">
      <c r="A74" s="135" t="s">
        <v>246</v>
      </c>
      <c r="B74" s="136" t="s">
        <v>294</v>
      </c>
      <c r="C74" s="139">
        <f>(C29/30/12*7)*8%</f>
        <v>4.96901746834624</v>
      </c>
      <c r="D74" s="64"/>
      <c r="E74" s="34"/>
    </row>
    <row r="75" spans="1:5" ht="15">
      <c r="A75" s="135" t="s">
        <v>248</v>
      </c>
      <c r="B75" s="136" t="s">
        <v>295</v>
      </c>
      <c r="C75" s="138">
        <f>C29*4%</f>
        <v>127.774734900332</v>
      </c>
      <c r="D75" s="64"/>
      <c r="E75" s="34"/>
    </row>
    <row r="76" spans="1:5" ht="15">
      <c r="A76" s="140"/>
      <c r="B76" s="133" t="s">
        <v>81</v>
      </c>
      <c r="C76" s="141">
        <f>SUM(C70:C75)</f>
        <v>212.039031438201</v>
      </c>
      <c r="D76" s="64"/>
      <c r="E76" s="34"/>
    </row>
    <row r="77" spans="1:5" ht="15.75">
      <c r="A77" s="34"/>
      <c r="B77" s="34"/>
      <c r="C77" s="34"/>
      <c r="D77" s="34"/>
      <c r="E77" s="64"/>
    </row>
    <row r="78" spans="1:5" ht="15">
      <c r="A78" s="80"/>
      <c r="B78" s="142" t="s">
        <v>296</v>
      </c>
      <c r="C78" s="143"/>
      <c r="D78" s="144"/>
      <c r="E78" s="34"/>
    </row>
    <row r="79" spans="1:5" ht="15">
      <c r="A79" s="82"/>
      <c r="B79" s="125" t="s">
        <v>297</v>
      </c>
      <c r="C79" s="68"/>
      <c r="D79" s="64"/>
      <c r="E79" s="34"/>
    </row>
    <row r="80" spans="1:5" ht="15">
      <c r="A80" s="66" t="s">
        <v>298</v>
      </c>
      <c r="B80" s="145" t="s">
        <v>299</v>
      </c>
      <c r="C80" s="146" t="s">
        <v>237</v>
      </c>
      <c r="D80" s="64"/>
      <c r="E80" s="34"/>
    </row>
    <row r="81" spans="1:5" ht="15">
      <c r="A81" s="69" t="s">
        <v>238</v>
      </c>
      <c r="B81" s="147" t="s">
        <v>300</v>
      </c>
      <c r="C81" s="148">
        <v>0</v>
      </c>
      <c r="D81" s="64"/>
      <c r="E81" s="34"/>
    </row>
    <row r="82" spans="1:5" ht="15">
      <c r="A82" s="69" t="s">
        <v>240</v>
      </c>
      <c r="B82" s="147" t="s">
        <v>301</v>
      </c>
      <c r="C82" s="148">
        <f>(((C29+C66+C76+C85+C106)-(C54-C55-C103-C104))/30*2.96)/12</f>
        <v>85.1749104227935</v>
      </c>
      <c r="D82" s="64"/>
      <c r="E82" s="34"/>
    </row>
    <row r="83" spans="1:5" ht="15">
      <c r="A83" s="69" t="s">
        <v>242</v>
      </c>
      <c r="B83" s="147" t="s">
        <v>302</v>
      </c>
      <c r="C83" s="148">
        <f>(((C29+C66+C76+C85+C106)-(C54-C55-C103-C104))/30*5*1.5%)/12</f>
        <v>2.15814806814511</v>
      </c>
      <c r="D83" s="64"/>
      <c r="E83" s="34"/>
    </row>
    <row r="84" spans="1:5" ht="15">
      <c r="A84" s="69" t="s">
        <v>244</v>
      </c>
      <c r="B84" s="147" t="s">
        <v>303</v>
      </c>
      <c r="C84" s="148">
        <f>(((C29+C66+C76+C85+C106)-(C54-C55-C103-C104))/30*15*0.78%)/12</f>
        <v>3.36671098630637</v>
      </c>
      <c r="D84" s="64"/>
      <c r="E84" s="34"/>
    </row>
    <row r="85" spans="1:5" ht="15">
      <c r="A85" s="69" t="s">
        <v>246</v>
      </c>
      <c r="B85" s="147" t="s">
        <v>304</v>
      </c>
      <c r="C85" s="148">
        <f>(((C35*3.95/12)+(C56*3.95*1.02%))/12+((C29+C34)*39.8%*3.95)*1.02%/12)</f>
        <v>15.2265789914408</v>
      </c>
      <c r="D85" s="91"/>
      <c r="E85" s="34"/>
    </row>
    <row r="86" spans="1:5" ht="15">
      <c r="A86" s="69" t="s">
        <v>248</v>
      </c>
      <c r="B86" s="149" t="s">
        <v>305</v>
      </c>
      <c r="C86" s="148">
        <v>0</v>
      </c>
      <c r="D86" s="64"/>
      <c r="E86" s="34"/>
    </row>
    <row r="87" spans="1:5" ht="15.75">
      <c r="A87" s="76"/>
      <c r="B87" s="150" t="s">
        <v>81</v>
      </c>
      <c r="C87" s="111">
        <f>SUM(C81:C86)</f>
        <v>105.926348468686</v>
      </c>
      <c r="D87" s="64"/>
      <c r="E87" s="34"/>
    </row>
    <row r="88" spans="1:5" ht="15.75">
      <c r="A88" s="112"/>
      <c r="B88" s="112"/>
      <c r="C88" s="112"/>
      <c r="D88" s="34"/>
      <c r="E88" s="64"/>
    </row>
    <row r="89" spans="1:5" ht="15">
      <c r="A89" s="151"/>
      <c r="B89" s="152" t="s">
        <v>306</v>
      </c>
      <c r="C89" s="152"/>
      <c r="D89" s="64"/>
      <c r="E89" s="34"/>
    </row>
    <row r="90" spans="1:5" ht="15">
      <c r="A90" s="66" t="s">
        <v>307</v>
      </c>
      <c r="B90" s="145" t="s">
        <v>308</v>
      </c>
      <c r="C90" s="146" t="s">
        <v>237</v>
      </c>
      <c r="D90" s="64"/>
      <c r="E90" s="34"/>
    </row>
    <row r="91" spans="1:5" ht="15">
      <c r="A91" s="69" t="s">
        <v>238</v>
      </c>
      <c r="B91" s="153" t="s">
        <v>309</v>
      </c>
      <c r="C91" s="154">
        <v>0</v>
      </c>
      <c r="D91" s="64"/>
      <c r="E91" s="34"/>
    </row>
    <row r="92" spans="1:5" ht="15.75">
      <c r="A92" s="155"/>
      <c r="B92" s="150" t="s">
        <v>81</v>
      </c>
      <c r="C92" s="156">
        <v>0</v>
      </c>
      <c r="D92" s="157"/>
      <c r="E92" s="34"/>
    </row>
    <row r="93" spans="1:5" ht="15.75">
      <c r="A93" s="112"/>
      <c r="B93" s="112"/>
      <c r="C93" s="112"/>
      <c r="D93" s="34"/>
      <c r="E93" s="64"/>
    </row>
    <row r="94" spans="1:5" ht="15">
      <c r="A94" s="114"/>
      <c r="B94" s="123" t="s">
        <v>310</v>
      </c>
      <c r="C94" s="124"/>
      <c r="D94" s="64"/>
      <c r="E94" s="34"/>
    </row>
    <row r="95" spans="1:5" ht="15">
      <c r="A95" s="66">
        <v>4</v>
      </c>
      <c r="B95" s="125" t="s">
        <v>311</v>
      </c>
      <c r="C95" s="126" t="s">
        <v>255</v>
      </c>
      <c r="D95" s="64"/>
      <c r="E95" s="34"/>
    </row>
    <row r="96" spans="1:5" ht="15">
      <c r="A96" s="69" t="s">
        <v>298</v>
      </c>
      <c r="B96" s="70" t="s">
        <v>299</v>
      </c>
      <c r="C96" s="71">
        <f>C87</f>
        <v>105.926348468686</v>
      </c>
      <c r="D96" s="158"/>
      <c r="E96" s="159"/>
    </row>
    <row r="97" spans="1:5" ht="15">
      <c r="A97" s="69" t="s">
        <v>307</v>
      </c>
      <c r="B97" s="70" t="s">
        <v>308</v>
      </c>
      <c r="C97" s="71">
        <v>0</v>
      </c>
      <c r="D97" s="64"/>
      <c r="E97" s="34"/>
    </row>
    <row r="98" spans="1:5" ht="15.75">
      <c r="A98" s="76"/>
      <c r="B98" s="127" t="s">
        <v>258</v>
      </c>
      <c r="C98" s="78">
        <f>SUM(C96:C97)</f>
        <v>105.926348468686</v>
      </c>
      <c r="D98" s="64"/>
      <c r="E98" s="34"/>
    </row>
    <row r="99" spans="1:5" ht="15.75">
      <c r="A99" s="34"/>
      <c r="B99" s="34"/>
      <c r="C99" s="34"/>
      <c r="D99" s="34"/>
      <c r="E99" s="34"/>
    </row>
    <row r="100" spans="1:5" ht="15">
      <c r="A100" s="160"/>
      <c r="B100" s="142" t="s">
        <v>312</v>
      </c>
      <c r="C100" s="161"/>
      <c r="D100" s="34"/>
      <c r="E100" s="34"/>
    </row>
    <row r="101" spans="1:5" ht="15">
      <c r="A101" s="162">
        <v>5</v>
      </c>
      <c r="B101" s="163" t="s">
        <v>313</v>
      </c>
      <c r="C101" s="68" t="s">
        <v>237</v>
      </c>
      <c r="D101" s="34"/>
      <c r="E101" s="34"/>
    </row>
    <row r="102" spans="1:5" ht="15">
      <c r="A102" s="164" t="s">
        <v>238</v>
      </c>
      <c r="B102" s="165" t="s">
        <v>314</v>
      </c>
      <c r="C102" s="166">
        <f>'An IID Uniformes'!H53</f>
        <v>87.7783333333334</v>
      </c>
      <c r="D102" s="34"/>
      <c r="E102" s="34"/>
    </row>
    <row r="103" spans="1:5" ht="15">
      <c r="A103" s="164" t="s">
        <v>240</v>
      </c>
      <c r="B103" s="167" t="s">
        <v>315</v>
      </c>
      <c r="C103" s="168">
        <f>'An IIC Relacao Materiais'!F37</f>
        <v>1160</v>
      </c>
      <c r="D103" s="169"/>
      <c r="E103" s="169"/>
    </row>
    <row r="104" spans="1:5" ht="15">
      <c r="A104" s="164" t="s">
        <v>242</v>
      </c>
      <c r="B104" s="165" t="s">
        <v>316</v>
      </c>
      <c r="C104" s="170">
        <f>'An IIB Relacao Equip'!F31</f>
        <v>767.484366666667</v>
      </c>
      <c r="D104" s="169"/>
      <c r="E104" s="34"/>
    </row>
    <row r="105" spans="1:5" ht="15">
      <c r="A105" s="171" t="s">
        <v>244</v>
      </c>
      <c r="B105" s="172" t="s">
        <v>317</v>
      </c>
      <c r="C105" s="173">
        <v>0</v>
      </c>
      <c r="D105" s="34"/>
      <c r="E105" s="34"/>
    </row>
    <row r="106" spans="1:5" ht="15.75">
      <c r="A106" s="174"/>
      <c r="B106" s="175" t="s">
        <v>318</v>
      </c>
      <c r="C106" s="176">
        <f>C102+C103+C104</f>
        <v>2015.2627</v>
      </c>
      <c r="D106" s="177"/>
      <c r="E106" s="34"/>
    </row>
    <row r="107" spans="1:5" ht="15.75">
      <c r="A107" s="178"/>
      <c r="B107" s="179"/>
      <c r="C107" s="180"/>
      <c r="D107" s="180"/>
      <c r="E107" s="34"/>
    </row>
    <row r="108" spans="1:5" ht="15">
      <c r="A108" s="181"/>
      <c r="B108" s="81" t="s">
        <v>319</v>
      </c>
      <c r="C108" s="81"/>
      <c r="D108" s="81"/>
      <c r="E108" s="34"/>
    </row>
    <row r="109" spans="1:5" ht="15">
      <c r="A109" s="162">
        <v>6</v>
      </c>
      <c r="B109" s="145" t="s">
        <v>320</v>
      </c>
      <c r="C109" s="182" t="s">
        <v>263</v>
      </c>
      <c r="D109" s="146" t="s">
        <v>237</v>
      </c>
      <c r="E109" s="34"/>
    </row>
    <row r="110" spans="1:5" ht="15">
      <c r="A110" s="164" t="s">
        <v>238</v>
      </c>
      <c r="B110" s="183" t="s">
        <v>321</v>
      </c>
      <c r="C110" s="184">
        <v>4.47</v>
      </c>
      <c r="D110" s="86">
        <f>(C127)*C110/100</f>
        <v>368.143680886847</v>
      </c>
      <c r="E110" s="34"/>
    </row>
    <row r="111" spans="1:5" ht="15">
      <c r="A111" s="164" t="s">
        <v>240</v>
      </c>
      <c r="B111" s="183" t="s">
        <v>322</v>
      </c>
      <c r="C111" s="184">
        <v>3.06</v>
      </c>
      <c r="D111" s="86">
        <f>(C127+D110)*C111/100</f>
        <v>263.283018450294</v>
      </c>
      <c r="E111" s="34"/>
    </row>
    <row r="112" spans="1:5" ht="15">
      <c r="A112" s="164" t="s">
        <v>242</v>
      </c>
      <c r="B112" s="183" t="s">
        <v>323</v>
      </c>
      <c r="C112" s="184"/>
      <c r="D112" s="86"/>
      <c r="E112" s="34"/>
    </row>
    <row r="113" spans="1:5" ht="15">
      <c r="A113" s="164"/>
      <c r="B113" s="183" t="s">
        <v>324</v>
      </c>
      <c r="C113" s="184">
        <f>3+0.65</f>
        <v>3.65</v>
      </c>
      <c r="D113" s="86">
        <f>((C127+D110+D111)/(1-(C113+C115)/100))*C113/100</f>
        <v>354.303850976918</v>
      </c>
      <c r="E113" s="34"/>
    </row>
    <row r="114" spans="1:5" ht="15">
      <c r="A114" s="164"/>
      <c r="B114" s="183" t="s">
        <v>325</v>
      </c>
      <c r="C114" s="184"/>
      <c r="D114" s="86"/>
      <c r="E114" s="34"/>
    </row>
    <row r="115" spans="1:5" ht="15">
      <c r="A115" s="164"/>
      <c r="B115" s="183" t="s">
        <v>326</v>
      </c>
      <c r="C115" s="185">
        <v>5</v>
      </c>
      <c r="D115" s="86">
        <f>((C127+D110+D111)/(1-(C113+C115)/100))*C115/100</f>
        <v>485.347741064271</v>
      </c>
      <c r="E115" s="34"/>
    </row>
    <row r="116" spans="1:5" ht="15">
      <c r="A116" s="164"/>
      <c r="B116" s="183" t="s">
        <v>327</v>
      </c>
      <c r="C116" s="184"/>
      <c r="D116" s="86"/>
      <c r="E116" s="34"/>
    </row>
    <row r="117" spans="1:5" ht="15.75">
      <c r="A117" s="186"/>
      <c r="B117" s="150" t="s">
        <v>81</v>
      </c>
      <c r="C117" s="187">
        <f>SUM(C110:C116)</f>
        <v>16.18</v>
      </c>
      <c r="D117" s="111">
        <f>SUM(D110:D116)</f>
        <v>1471.07829137833</v>
      </c>
      <c r="E117" s="34"/>
    </row>
    <row r="118" spans="1:5" ht="15">
      <c r="A118" s="178"/>
      <c r="B118" s="179"/>
      <c r="C118" s="180"/>
      <c r="D118" s="180"/>
      <c r="E118" s="34"/>
    </row>
    <row r="119" spans="1:5" ht="15">
      <c r="A119" s="188" t="s">
        <v>328</v>
      </c>
      <c r="B119" s="188"/>
      <c r="C119" s="188"/>
      <c r="D119" s="189"/>
      <c r="E119" s="159"/>
    </row>
    <row r="120" spans="1:5" ht="15.75">
      <c r="A120" s="34"/>
      <c r="B120" s="189"/>
      <c r="C120" s="34"/>
      <c r="D120" s="34"/>
      <c r="E120" s="159"/>
    </row>
    <row r="121" spans="1:5" ht="15">
      <c r="A121" s="114"/>
      <c r="B121" s="190" t="s">
        <v>329</v>
      </c>
      <c r="C121" s="191" t="s">
        <v>237</v>
      </c>
      <c r="D121" s="159"/>
      <c r="E121" s="159"/>
    </row>
    <row r="122" spans="1:5" ht="15">
      <c r="A122" s="82" t="s">
        <v>238</v>
      </c>
      <c r="B122" s="183" t="s">
        <v>330</v>
      </c>
      <c r="C122" s="86">
        <f>C29</f>
        <v>3194.3683725083</v>
      </c>
      <c r="D122" s="159"/>
      <c r="E122" s="159"/>
    </row>
    <row r="123" spans="1:5" ht="15">
      <c r="A123" s="82" t="s">
        <v>240</v>
      </c>
      <c r="B123" s="183" t="s">
        <v>331</v>
      </c>
      <c r="C123" s="86">
        <f>C66</f>
        <v>2708.2800774919</v>
      </c>
      <c r="D123" s="159"/>
      <c r="E123" s="159"/>
    </row>
    <row r="124" spans="1:5" ht="15">
      <c r="A124" s="82" t="s">
        <v>242</v>
      </c>
      <c r="B124" s="183" t="s">
        <v>332</v>
      </c>
      <c r="C124" s="86">
        <f>C76</f>
        <v>212.039031438201</v>
      </c>
      <c r="D124" s="159"/>
      <c r="E124" s="159"/>
    </row>
    <row r="125" spans="1:5" ht="15">
      <c r="A125" s="82" t="s">
        <v>244</v>
      </c>
      <c r="B125" s="183" t="s">
        <v>333</v>
      </c>
      <c r="C125" s="86">
        <f>C98</f>
        <v>105.926348468686</v>
      </c>
      <c r="D125" s="159"/>
      <c r="E125" s="159"/>
    </row>
    <row r="126" spans="1:5" ht="15">
      <c r="A126" s="82" t="s">
        <v>246</v>
      </c>
      <c r="B126" s="183" t="s">
        <v>334</v>
      </c>
      <c r="C126" s="86">
        <f>C106</f>
        <v>2015.2627</v>
      </c>
      <c r="D126" s="159"/>
      <c r="E126" s="159"/>
    </row>
    <row r="127" spans="1:5" ht="15">
      <c r="A127" s="82"/>
      <c r="B127" s="182" t="s">
        <v>335</v>
      </c>
      <c r="C127" s="192">
        <f>SUM(C122:C126)</f>
        <v>8235.87652990709</v>
      </c>
      <c r="D127" s="159"/>
      <c r="E127" s="159"/>
    </row>
    <row r="128" spans="1:5" ht="15">
      <c r="A128" s="82" t="s">
        <v>248</v>
      </c>
      <c r="B128" s="183" t="s">
        <v>336</v>
      </c>
      <c r="C128" s="86">
        <f>D117</f>
        <v>1471.07829137833</v>
      </c>
      <c r="D128" s="159"/>
      <c r="E128" s="159"/>
    </row>
    <row r="129" spans="1:5" ht="15">
      <c r="A129" s="82"/>
      <c r="B129" s="145" t="s">
        <v>337</v>
      </c>
      <c r="C129" s="192">
        <f>SUM(C127:C128)</f>
        <v>9706.95482128542</v>
      </c>
      <c r="D129" s="159"/>
      <c r="E129" s="159"/>
    </row>
    <row r="130" spans="1:5" ht="15">
      <c r="A130" s="198"/>
      <c r="B130" s="145" t="s">
        <v>338</v>
      </c>
      <c r="C130" s="90">
        <f>2*C129</f>
        <v>19413.9096425708</v>
      </c>
      <c r="D130" s="159"/>
      <c r="E130" s="159"/>
    </row>
    <row r="131" spans="1:5" ht="15.75">
      <c r="A131" s="76"/>
      <c r="B131" s="193" t="s">
        <v>339</v>
      </c>
      <c r="C131" s="194">
        <f>C129/C29</f>
        <v>3.03877126533884</v>
      </c>
      <c r="D131" s="159"/>
      <c r="E131" s="159"/>
    </row>
    <row r="132" spans="1:5" ht="15">
      <c r="A132" s="34"/>
      <c r="B132" s="189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">
      <c r="A134" s="181"/>
      <c r="B134" s="81" t="s">
        <v>340</v>
      </c>
      <c r="C134" s="81"/>
      <c r="D134" s="81"/>
      <c r="E134" s="34"/>
    </row>
    <row r="135" spans="1:5" ht="15">
      <c r="A135" s="162">
        <v>6</v>
      </c>
      <c r="B135" s="145" t="s">
        <v>320</v>
      </c>
      <c r="C135" s="182" t="s">
        <v>263</v>
      </c>
      <c r="D135" s="146" t="s">
        <v>237</v>
      </c>
      <c r="E135" s="34"/>
    </row>
    <row r="136" spans="1:5" ht="15">
      <c r="A136" s="164" t="s">
        <v>238</v>
      </c>
      <c r="B136" s="183" t="s">
        <v>321</v>
      </c>
      <c r="C136" s="184">
        <v>4.47</v>
      </c>
      <c r="D136" s="86">
        <f>(C153)*C136/100</f>
        <v>368.143680886847</v>
      </c>
      <c r="E136" s="34"/>
    </row>
    <row r="137" spans="1:5" ht="15">
      <c r="A137" s="164" t="s">
        <v>240</v>
      </c>
      <c r="B137" s="183" t="s">
        <v>322</v>
      </c>
      <c r="C137" s="184">
        <v>3.06</v>
      </c>
      <c r="D137" s="86">
        <f>(C153+D136)*C137/100</f>
        <v>263.283018450294</v>
      </c>
      <c r="E137" s="34"/>
    </row>
    <row r="138" spans="1:5" ht="15">
      <c r="A138" s="164" t="s">
        <v>242</v>
      </c>
      <c r="B138" s="183" t="s">
        <v>323</v>
      </c>
      <c r="C138" s="184"/>
      <c r="D138" s="86"/>
      <c r="E138" s="34"/>
    </row>
    <row r="139" spans="1:5" ht="15">
      <c r="A139" s="164"/>
      <c r="B139" s="183" t="s">
        <v>341</v>
      </c>
      <c r="C139" s="107">
        <f>1.65+7.6</f>
        <v>9.25</v>
      </c>
      <c r="D139" s="86">
        <f>((C153+D136+D137)/(1-(C139+C141)/100))*C139/100</f>
        <v>956.531252134217</v>
      </c>
      <c r="E139" s="34"/>
    </row>
    <row r="140" spans="1:5" ht="15">
      <c r="A140" s="164"/>
      <c r="B140" s="183" t="s">
        <v>325</v>
      </c>
      <c r="C140" s="184"/>
      <c r="D140" s="86"/>
      <c r="E140" s="34"/>
    </row>
    <row r="141" spans="1:5" ht="15">
      <c r="A141" s="164"/>
      <c r="B141" s="183" t="s">
        <v>326</v>
      </c>
      <c r="C141" s="185">
        <v>5</v>
      </c>
      <c r="D141" s="86">
        <f>((C153+D136+D137)/(1-(C139+C141)/100))*C141/100</f>
        <v>517.04392007255</v>
      </c>
      <c r="E141" s="34"/>
    </row>
    <row r="142" spans="1:5" ht="15">
      <c r="A142" s="164"/>
      <c r="B142" s="183" t="s">
        <v>327</v>
      </c>
      <c r="C142" s="184"/>
      <c r="D142" s="86"/>
      <c r="E142" s="34"/>
    </row>
    <row r="143" spans="1:5" ht="15.75">
      <c r="A143" s="186"/>
      <c r="B143" s="150" t="s">
        <v>81</v>
      </c>
      <c r="C143" s="187">
        <f>SUM(C136:C142)</f>
        <v>21.78</v>
      </c>
      <c r="D143" s="111">
        <f>SUM(D136:D142)</f>
        <v>2105.00187154391</v>
      </c>
      <c r="E143" s="34"/>
    </row>
    <row r="144" spans="1:5" ht="15">
      <c r="A144" s="112"/>
      <c r="B144" s="112"/>
      <c r="C144" s="112"/>
      <c r="D144" s="112"/>
      <c r="E144" s="34"/>
    </row>
    <row r="145" spans="1:5" ht="15">
      <c r="A145" s="195" t="s">
        <v>328</v>
      </c>
      <c r="B145" s="195"/>
      <c r="C145" s="195"/>
      <c r="D145" s="196"/>
      <c r="E145" s="34"/>
    </row>
    <row r="146" spans="1:5" ht="15.75">
      <c r="A146" s="112"/>
      <c r="B146" s="197"/>
      <c r="C146" s="112"/>
      <c r="D146" s="196"/>
      <c r="E146" s="34"/>
    </row>
    <row r="147" spans="1:5" ht="15">
      <c r="A147" s="114"/>
      <c r="B147" s="190" t="s">
        <v>329</v>
      </c>
      <c r="C147" s="191" t="s">
        <v>237</v>
      </c>
      <c r="D147" s="196"/>
      <c r="E147" s="34"/>
    </row>
    <row r="148" spans="1:5" ht="15">
      <c r="A148" s="82" t="s">
        <v>238</v>
      </c>
      <c r="B148" s="183" t="s">
        <v>330</v>
      </c>
      <c r="C148" s="86">
        <f>C122</f>
        <v>3194.3683725083</v>
      </c>
      <c r="D148" s="196"/>
      <c r="E148" s="34"/>
    </row>
    <row r="149" spans="1:5" ht="15">
      <c r="A149" s="82" t="s">
        <v>240</v>
      </c>
      <c r="B149" s="183" t="s">
        <v>331</v>
      </c>
      <c r="C149" s="86">
        <f>C123</f>
        <v>2708.2800774919</v>
      </c>
      <c r="D149" s="196"/>
      <c r="E149" s="34"/>
    </row>
    <row r="150" spans="1:5" ht="15">
      <c r="A150" s="82" t="s">
        <v>242</v>
      </c>
      <c r="B150" s="183" t="s">
        <v>332</v>
      </c>
      <c r="C150" s="86">
        <f>C124</f>
        <v>212.039031438201</v>
      </c>
      <c r="D150" s="196"/>
      <c r="E150" s="34"/>
    </row>
    <row r="151" spans="1:5" ht="15">
      <c r="A151" s="82" t="s">
        <v>244</v>
      </c>
      <c r="B151" s="183" t="s">
        <v>333</v>
      </c>
      <c r="C151" s="86">
        <f>C125</f>
        <v>105.926348468686</v>
      </c>
      <c r="D151" s="196"/>
      <c r="E151" s="34"/>
    </row>
    <row r="152" spans="1:5" ht="15">
      <c r="A152" s="82" t="s">
        <v>246</v>
      </c>
      <c r="B152" s="183" t="s">
        <v>334</v>
      </c>
      <c r="C152" s="86">
        <f>C126</f>
        <v>2015.2627</v>
      </c>
      <c r="D152" s="196"/>
      <c r="E152" s="34"/>
    </row>
    <row r="153" spans="1:5" ht="15">
      <c r="A153" s="82"/>
      <c r="B153" s="182" t="s">
        <v>335</v>
      </c>
      <c r="C153" s="192">
        <f>SUM(C148:C152)</f>
        <v>8235.87652990709</v>
      </c>
      <c r="D153" s="196"/>
      <c r="E153" s="34"/>
    </row>
    <row r="154" spans="1:5" ht="15">
      <c r="A154" s="82" t="s">
        <v>248</v>
      </c>
      <c r="B154" s="183" t="s">
        <v>336</v>
      </c>
      <c r="C154" s="86">
        <f>D143</f>
        <v>2105.00187154391</v>
      </c>
      <c r="D154" s="196"/>
      <c r="E154" s="34"/>
    </row>
    <row r="155" spans="1:5" ht="15">
      <c r="A155" s="82"/>
      <c r="B155" s="145" t="s">
        <v>337</v>
      </c>
      <c r="C155" s="192">
        <f>SUM(C153:C154)</f>
        <v>10340.878401451</v>
      </c>
      <c r="D155" s="196"/>
      <c r="E155" s="34"/>
    </row>
    <row r="156" spans="1:5" ht="15">
      <c r="A156" s="198"/>
      <c r="B156" s="145" t="s">
        <v>338</v>
      </c>
      <c r="C156" s="90">
        <f>2*C155</f>
        <v>20681.756802902</v>
      </c>
      <c r="D156" s="196"/>
      <c r="E156" s="34"/>
    </row>
    <row r="157" spans="1:5" ht="15.75">
      <c r="A157" s="76"/>
      <c r="B157" s="193" t="s">
        <v>339</v>
      </c>
      <c r="C157" s="194">
        <f>C155/C29</f>
        <v>3.2372216336875</v>
      </c>
      <c r="D157" s="196"/>
      <c r="E157" s="34"/>
    </row>
  </sheetData>
  <mergeCells count="24">
    <mergeCell ref="A1:E1"/>
    <mergeCell ref="A2:E2"/>
    <mergeCell ref="A4:E4"/>
    <mergeCell ref="A5:E5"/>
    <mergeCell ref="B7:E7"/>
    <mergeCell ref="B9:E9"/>
    <mergeCell ref="C11:E11"/>
    <mergeCell ref="C12:E12"/>
    <mergeCell ref="C13:E13"/>
    <mergeCell ref="C14:E14"/>
    <mergeCell ref="C15:E15"/>
    <mergeCell ref="C16:E16"/>
    <mergeCell ref="C17:E17"/>
    <mergeCell ref="C18:E18"/>
    <mergeCell ref="A21:C21"/>
    <mergeCell ref="B30:D30"/>
    <mergeCell ref="B31:C31"/>
    <mergeCell ref="B32:C32"/>
    <mergeCell ref="A39:D39"/>
    <mergeCell ref="B89:C89"/>
    <mergeCell ref="B108:D108"/>
    <mergeCell ref="A119:C119"/>
    <mergeCell ref="B134:D134"/>
    <mergeCell ref="A145:C145"/>
  </mergeCells>
  <printOptions/>
  <pageMargins left="0.511811024" right="0.511811024" top="0.787401575" bottom="0.787401575" header="0.31496062" footer="0.31496062"/>
  <pageSetup horizontalDpi="600" verticalDpi="600" orientation="portrait" paperSize="9" scale="84"/>
  <headerFooter>
    <oddHeader>&amp;L&amp;G&amp;CProcesso 23069.167552/2021-41
PE 88/2021&amp;R&amp;G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55"/>
  <sheetViews>
    <sheetView workbookViewId="0" topLeftCell="A1">
      <selection activeCell="A4" sqref="A4:E4"/>
    </sheetView>
  </sheetViews>
  <sheetFormatPr defaultColWidth="8.8515625" defaultRowHeight="15" outlineLevelCol="7"/>
  <cols>
    <col min="2" max="2" width="64.57421875" style="0" customWidth="1"/>
    <col min="3" max="3" width="12.28125" style="0" customWidth="1"/>
    <col min="4" max="4" width="10.7109375" style="0" customWidth="1"/>
    <col min="5" max="5" width="12.8515625" style="0" customWidth="1"/>
    <col min="6" max="6" width="14.00390625" style="0" customWidth="1"/>
    <col min="7" max="7" width="10.8515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8"/>
      <c r="G1" s="28"/>
    </row>
    <row r="2" spans="1:7" ht="18.75">
      <c r="A2" s="2" t="s">
        <v>1</v>
      </c>
      <c r="B2" s="2"/>
      <c r="C2" s="2"/>
      <c r="D2" s="2"/>
      <c r="E2" s="2"/>
      <c r="F2" s="29"/>
      <c r="G2" s="29"/>
    </row>
    <row r="4" spans="1:8" ht="14.4" customHeight="1">
      <c r="A4" s="30" t="s">
        <v>356</v>
      </c>
      <c r="B4" s="30"/>
      <c r="C4" s="30"/>
      <c r="D4" s="30"/>
      <c r="E4" s="30"/>
      <c r="F4" s="31"/>
      <c r="G4" s="31"/>
      <c r="H4" s="4"/>
    </row>
    <row r="5" spans="1:8" ht="38.4" customHeight="1">
      <c r="A5" s="32" t="s">
        <v>5</v>
      </c>
      <c r="B5" s="32"/>
      <c r="C5" s="32"/>
      <c r="D5" s="32"/>
      <c r="E5" s="32"/>
      <c r="F5" s="33"/>
      <c r="G5" s="33"/>
      <c r="H5" s="6"/>
    </row>
    <row r="7" spans="1:5" ht="15">
      <c r="A7" s="34"/>
      <c r="B7" s="35" t="s">
        <v>346</v>
      </c>
      <c r="C7" s="35"/>
      <c r="D7" s="35"/>
      <c r="E7" s="35"/>
    </row>
    <row r="8" spans="1:5" ht="15">
      <c r="A8" s="34"/>
      <c r="B8" s="34"/>
      <c r="C8" s="34"/>
      <c r="D8" s="34"/>
      <c r="E8" s="34"/>
    </row>
    <row r="9" spans="1:5" ht="15">
      <c r="A9" s="34"/>
      <c r="B9" s="36" t="s">
        <v>221</v>
      </c>
      <c r="C9" s="36"/>
      <c r="D9" s="36"/>
      <c r="E9" s="36"/>
    </row>
    <row r="10" spans="1:5" ht="15.75">
      <c r="A10" s="34"/>
      <c r="B10" s="37" t="s">
        <v>222</v>
      </c>
      <c r="C10" s="38"/>
      <c r="D10" s="38"/>
      <c r="E10" s="38"/>
    </row>
    <row r="11" spans="1:5" ht="15">
      <c r="A11" s="34"/>
      <c r="B11" s="39" t="s">
        <v>223</v>
      </c>
      <c r="C11" s="40" t="s">
        <v>357</v>
      </c>
      <c r="D11" s="41"/>
      <c r="E11" s="42"/>
    </row>
    <row r="12" spans="1:5" ht="15">
      <c r="A12" s="34"/>
      <c r="B12" s="43" t="s">
        <v>225</v>
      </c>
      <c r="C12" s="44">
        <v>25.11</v>
      </c>
      <c r="D12" s="45"/>
      <c r="E12" s="46"/>
    </row>
    <row r="13" spans="1:5" ht="15">
      <c r="A13" s="34"/>
      <c r="B13" s="43" t="s">
        <v>226</v>
      </c>
      <c r="C13" s="47" t="s">
        <v>353</v>
      </c>
      <c r="D13" s="48"/>
      <c r="E13" s="49"/>
    </row>
    <row r="14" spans="1:5" ht="15">
      <c r="A14" s="34"/>
      <c r="B14" s="43" t="s">
        <v>228</v>
      </c>
      <c r="C14" s="50">
        <v>2264.51</v>
      </c>
      <c r="D14" s="51"/>
      <c r="E14" s="52"/>
    </row>
    <row r="15" spans="1:5" ht="15">
      <c r="A15" s="34"/>
      <c r="B15" s="43" t="s">
        <v>229</v>
      </c>
      <c r="C15" s="44" t="s">
        <v>230</v>
      </c>
      <c r="D15" s="45"/>
      <c r="E15" s="46"/>
    </row>
    <row r="16" spans="1:5" ht="15">
      <c r="A16" s="34"/>
      <c r="B16" s="43" t="s">
        <v>231</v>
      </c>
      <c r="C16" s="53">
        <v>1</v>
      </c>
      <c r="D16" s="54"/>
      <c r="E16" s="55"/>
    </row>
    <row r="17" spans="1:5" ht="15">
      <c r="A17" s="34"/>
      <c r="B17" s="43" t="s">
        <v>232</v>
      </c>
      <c r="C17" s="56">
        <v>43831</v>
      </c>
      <c r="D17" s="57"/>
      <c r="E17" s="58"/>
    </row>
    <row r="18" spans="1:5" ht="15.75">
      <c r="A18" s="34"/>
      <c r="B18" s="59" t="s">
        <v>233</v>
      </c>
      <c r="C18" s="60" t="s">
        <v>234</v>
      </c>
      <c r="D18" s="61"/>
      <c r="E18" s="62"/>
    </row>
    <row r="19" spans="1:5" ht="15">
      <c r="A19" s="34"/>
      <c r="B19" s="34"/>
      <c r="C19" s="63"/>
      <c r="D19" s="64"/>
      <c r="E19" s="64"/>
    </row>
    <row r="20" spans="1:5" ht="15.75">
      <c r="A20" s="34"/>
      <c r="B20" s="34"/>
      <c r="C20" s="64"/>
      <c r="D20" s="64"/>
      <c r="E20" s="64"/>
    </row>
    <row r="21" spans="1:5" ht="15">
      <c r="A21" s="65" t="s">
        <v>235</v>
      </c>
      <c r="B21" s="65"/>
      <c r="C21" s="65"/>
      <c r="D21" s="64"/>
      <c r="E21" s="64"/>
    </row>
    <row r="22" spans="1:5" ht="15">
      <c r="A22" s="66">
        <v>1</v>
      </c>
      <c r="B22" s="67" t="s">
        <v>236</v>
      </c>
      <c r="C22" s="68" t="s">
        <v>237</v>
      </c>
      <c r="D22" s="64"/>
      <c r="E22" s="64"/>
    </row>
    <row r="23" spans="1:5" ht="15">
      <c r="A23" s="69" t="s">
        <v>238</v>
      </c>
      <c r="B23" s="70" t="s">
        <v>239</v>
      </c>
      <c r="C23" s="71">
        <f>C14</f>
        <v>2264.51</v>
      </c>
      <c r="D23" s="64"/>
      <c r="E23" s="64"/>
    </row>
    <row r="24" spans="1:5" ht="15">
      <c r="A24" s="69" t="s">
        <v>240</v>
      </c>
      <c r="B24" s="70" t="s">
        <v>241</v>
      </c>
      <c r="C24" s="72">
        <f>30%*C23</f>
        <v>679.353</v>
      </c>
      <c r="D24" s="64"/>
      <c r="E24" s="64"/>
    </row>
    <row r="25" spans="1:5" ht="15">
      <c r="A25" s="69" t="s">
        <v>242</v>
      </c>
      <c r="B25" s="70" t="s">
        <v>243</v>
      </c>
      <c r="C25" s="72"/>
      <c r="D25" s="64"/>
      <c r="E25" s="34"/>
    </row>
    <row r="26" spans="1:5" ht="15">
      <c r="A26" s="69" t="s">
        <v>244</v>
      </c>
      <c r="B26" s="73" t="s">
        <v>245</v>
      </c>
      <c r="C26" s="72"/>
      <c r="D26" s="64"/>
      <c r="E26" s="34"/>
    </row>
    <row r="27" spans="1:5" ht="15">
      <c r="A27" s="69" t="s">
        <v>246</v>
      </c>
      <c r="B27" s="73" t="s">
        <v>247</v>
      </c>
      <c r="C27" s="72"/>
      <c r="D27" s="64"/>
      <c r="E27" s="34"/>
    </row>
    <row r="28" spans="1:5" ht="15">
      <c r="A28" s="69" t="s">
        <v>248</v>
      </c>
      <c r="B28" s="74" t="s">
        <v>249</v>
      </c>
      <c r="C28" s="75"/>
      <c r="D28" s="64"/>
      <c r="E28" s="34"/>
    </row>
    <row r="29" spans="1:5" ht="15.75">
      <c r="A29" s="76"/>
      <c r="B29" s="77" t="s">
        <v>250</v>
      </c>
      <c r="C29" s="78">
        <f>SUM(C23:C28)</f>
        <v>2943.863</v>
      </c>
      <c r="D29" s="64"/>
      <c r="E29" s="34"/>
    </row>
    <row r="30" spans="1:5" ht="15.75">
      <c r="A30" s="34"/>
      <c r="B30" s="79"/>
      <c r="C30" s="79"/>
      <c r="D30" s="79"/>
      <c r="E30" s="64"/>
    </row>
    <row r="31" spans="1:5" ht="15">
      <c r="A31" s="80"/>
      <c r="B31" s="81" t="s">
        <v>251</v>
      </c>
      <c r="C31" s="81"/>
      <c r="D31" s="64"/>
      <c r="E31" s="34"/>
    </row>
    <row r="32" spans="1:5" ht="15">
      <c r="A32" s="82"/>
      <c r="B32" s="83" t="s">
        <v>252</v>
      </c>
      <c r="C32" s="83"/>
      <c r="D32" s="64"/>
      <c r="E32" s="34"/>
    </row>
    <row r="33" spans="1:5" ht="15">
      <c r="A33" s="66" t="s">
        <v>253</v>
      </c>
      <c r="B33" s="84" t="s">
        <v>254</v>
      </c>
      <c r="C33" s="68" t="s">
        <v>255</v>
      </c>
      <c r="D33" s="64"/>
      <c r="E33" s="34"/>
    </row>
    <row r="34" spans="1:5" ht="15">
      <c r="A34" s="69" t="s">
        <v>238</v>
      </c>
      <c r="B34" s="85" t="s">
        <v>256</v>
      </c>
      <c r="C34" s="86">
        <f>C29*8.33%</f>
        <v>245.2237879</v>
      </c>
      <c r="D34" s="64"/>
      <c r="E34" s="34"/>
    </row>
    <row r="35" spans="1:5" ht="15">
      <c r="A35" s="69" t="s">
        <v>240</v>
      </c>
      <c r="B35" s="85" t="s">
        <v>257</v>
      </c>
      <c r="C35" s="86">
        <f>C29*12.1%</f>
        <v>356.207423</v>
      </c>
      <c r="D35" s="87"/>
      <c r="E35" s="34"/>
    </row>
    <row r="36" spans="1:5" ht="15">
      <c r="A36" s="88"/>
      <c r="B36" s="89" t="s">
        <v>258</v>
      </c>
      <c r="C36" s="90">
        <f>SUM(C34:C35)</f>
        <v>601.4312109</v>
      </c>
      <c r="D36" s="91"/>
      <c r="E36" s="34"/>
    </row>
    <row r="37" spans="1:5" ht="36">
      <c r="A37" s="92" t="s">
        <v>242</v>
      </c>
      <c r="B37" s="93" t="s">
        <v>259</v>
      </c>
      <c r="C37" s="94">
        <f>C29*7.82%</f>
        <v>230.2100866</v>
      </c>
      <c r="D37" s="91"/>
      <c r="E37" s="34"/>
    </row>
    <row r="38" spans="1:5" ht="15.75">
      <c r="A38" s="34"/>
      <c r="B38" s="34"/>
      <c r="C38" s="34"/>
      <c r="D38" s="34"/>
      <c r="E38" s="64"/>
    </row>
    <row r="39" spans="1:5" ht="32.4" customHeight="1">
      <c r="A39" s="95" t="s">
        <v>260</v>
      </c>
      <c r="B39" s="95"/>
      <c r="C39" s="95"/>
      <c r="D39" s="95"/>
      <c r="E39" s="64"/>
    </row>
    <row r="40" spans="1:5" ht="15.75">
      <c r="A40" s="96" t="s">
        <v>261</v>
      </c>
      <c r="B40" s="97" t="s">
        <v>262</v>
      </c>
      <c r="C40" s="98" t="s">
        <v>263</v>
      </c>
      <c r="D40" s="99" t="s">
        <v>237</v>
      </c>
      <c r="E40" s="64"/>
    </row>
    <row r="41" spans="1:5" ht="15.75">
      <c r="A41" s="100" t="s">
        <v>238</v>
      </c>
      <c r="B41" s="101" t="s">
        <v>264</v>
      </c>
      <c r="C41" s="102">
        <v>20</v>
      </c>
      <c r="D41" s="103">
        <f>(C$29*(C$41/100))</f>
        <v>588.7726</v>
      </c>
      <c r="E41" s="64"/>
    </row>
    <row r="42" spans="1:5" ht="15.75">
      <c r="A42" s="100" t="s">
        <v>240</v>
      </c>
      <c r="B42" s="104" t="s">
        <v>265</v>
      </c>
      <c r="C42" s="105">
        <v>2.5</v>
      </c>
      <c r="D42" s="103">
        <f>(C$29*(C42/100))</f>
        <v>73.596575</v>
      </c>
      <c r="E42" s="64"/>
    </row>
    <row r="43" spans="1:5" ht="15.75">
      <c r="A43" s="100" t="s">
        <v>242</v>
      </c>
      <c r="B43" s="106" t="s">
        <v>266</v>
      </c>
      <c r="C43" s="107">
        <v>6</v>
      </c>
      <c r="D43" s="103">
        <f>(C$29*(C43/100))</f>
        <v>176.63178</v>
      </c>
      <c r="E43" s="64"/>
    </row>
    <row r="44" spans="1:5" ht="15.75">
      <c r="A44" s="100" t="s">
        <v>244</v>
      </c>
      <c r="B44" s="104" t="s">
        <v>267</v>
      </c>
      <c r="C44" s="105">
        <v>1.5</v>
      </c>
      <c r="D44" s="103">
        <f>(C$29*(C44/100))</f>
        <v>44.157945</v>
      </c>
      <c r="E44" s="64"/>
    </row>
    <row r="45" spans="1:5" ht="15.75">
      <c r="A45" s="100" t="s">
        <v>246</v>
      </c>
      <c r="B45" s="104" t="s">
        <v>268</v>
      </c>
      <c r="C45" s="105">
        <v>1</v>
      </c>
      <c r="D45" s="103">
        <f>(C$29*(C45/100))</f>
        <v>29.43863</v>
      </c>
      <c r="E45" s="64"/>
    </row>
    <row r="46" spans="1:5" ht="15.75">
      <c r="A46" s="100" t="s">
        <v>248</v>
      </c>
      <c r="B46" s="104" t="s">
        <v>269</v>
      </c>
      <c r="C46" s="105">
        <v>0.6</v>
      </c>
      <c r="D46" s="103">
        <f>(C$29*(C46/100))</f>
        <v>17.663178</v>
      </c>
      <c r="E46" s="64"/>
    </row>
    <row r="47" spans="1:5" ht="15.75">
      <c r="A47" s="100" t="s">
        <v>270</v>
      </c>
      <c r="B47" s="104" t="s">
        <v>271</v>
      </c>
      <c r="C47" s="105">
        <v>0.2</v>
      </c>
      <c r="D47" s="103">
        <f aca="true" t="shared" si="0" ref="D47:D48">(C$29*(C47/100))</f>
        <v>5.887726</v>
      </c>
      <c r="E47" s="64"/>
    </row>
    <row r="48" spans="1:5" ht="15">
      <c r="A48" s="100" t="s">
        <v>272</v>
      </c>
      <c r="B48" s="106" t="s">
        <v>273</v>
      </c>
      <c r="C48" s="107">
        <v>8</v>
      </c>
      <c r="D48" s="103">
        <f t="shared" si="0"/>
        <v>235.50904</v>
      </c>
      <c r="E48" s="64"/>
    </row>
    <row r="49" spans="1:5" ht="15.75">
      <c r="A49" s="108"/>
      <c r="B49" s="109" t="s">
        <v>81</v>
      </c>
      <c r="C49" s="110">
        <f>SUM(C41:C48)</f>
        <v>39.8</v>
      </c>
      <c r="D49" s="111">
        <f>SUM(D41:D48)</f>
        <v>1171.657474</v>
      </c>
      <c r="E49" s="64"/>
    </row>
    <row r="50" spans="1:5" ht="15">
      <c r="A50" s="112"/>
      <c r="B50" s="113" t="s">
        <v>274</v>
      </c>
      <c r="C50" s="112"/>
      <c r="D50" s="112"/>
      <c r="E50" s="64"/>
    </row>
    <row r="51" spans="1:5" ht="15.75">
      <c r="A51" s="112"/>
      <c r="B51" s="113"/>
      <c r="C51" s="112"/>
      <c r="D51" s="112"/>
      <c r="E51" s="64"/>
    </row>
    <row r="52" spans="1:5" ht="15">
      <c r="A52" s="114"/>
      <c r="B52" s="115" t="s">
        <v>275</v>
      </c>
      <c r="C52" s="116"/>
      <c r="D52" s="64"/>
      <c r="E52" s="34"/>
    </row>
    <row r="53" spans="1:5" ht="15">
      <c r="A53" s="66" t="s">
        <v>276</v>
      </c>
      <c r="B53" s="67" t="s">
        <v>277</v>
      </c>
      <c r="C53" s="68" t="s">
        <v>237</v>
      </c>
      <c r="D53" s="64"/>
      <c r="E53" s="34"/>
    </row>
    <row r="54" spans="1:5" ht="15">
      <c r="A54" s="69" t="s">
        <v>238</v>
      </c>
      <c r="B54" s="117" t="s">
        <v>278</v>
      </c>
      <c r="C54" s="72">
        <f>(4.05*4*C12)-6%*C14</f>
        <v>270.9114</v>
      </c>
      <c r="D54" s="64"/>
      <c r="E54" s="34"/>
    </row>
    <row r="55" spans="1:5" ht="15">
      <c r="A55" s="69" t="s">
        <v>240</v>
      </c>
      <c r="B55" s="70" t="s">
        <v>279</v>
      </c>
      <c r="C55" s="72">
        <f>((29*C12)-(29*C12*10%))</f>
        <v>655.371</v>
      </c>
      <c r="D55" s="64"/>
      <c r="E55" s="34"/>
    </row>
    <row r="56" spans="1:5" ht="15">
      <c r="A56" s="69" t="s">
        <v>242</v>
      </c>
      <c r="B56" s="70" t="s">
        <v>280</v>
      </c>
      <c r="C56" s="72"/>
      <c r="D56" s="64"/>
      <c r="E56" s="34"/>
    </row>
    <row r="57" spans="1:5" ht="15">
      <c r="A57" s="69" t="s">
        <v>281</v>
      </c>
      <c r="B57" s="70" t="s">
        <v>282</v>
      </c>
      <c r="C57" s="72">
        <v>27</v>
      </c>
      <c r="D57" s="64"/>
      <c r="E57" s="34"/>
    </row>
    <row r="58" spans="1:5" ht="15">
      <c r="A58" s="88" t="s">
        <v>283</v>
      </c>
      <c r="B58" s="118" t="s">
        <v>284</v>
      </c>
      <c r="C58" s="119"/>
      <c r="D58" s="64"/>
      <c r="E58" s="34"/>
    </row>
    <row r="59" spans="1:5" ht="15.75">
      <c r="A59" s="76"/>
      <c r="B59" s="77" t="s">
        <v>285</v>
      </c>
      <c r="C59" s="78">
        <f>SUM(C54:C58)</f>
        <v>953.2824</v>
      </c>
      <c r="D59" s="64"/>
      <c r="E59" s="34"/>
    </row>
    <row r="60" spans="1:5" ht="15.75">
      <c r="A60" s="112"/>
      <c r="B60" s="120"/>
      <c r="C60" s="121"/>
      <c r="D60" s="122"/>
      <c r="E60" s="64"/>
    </row>
    <row r="61" spans="1:5" ht="15">
      <c r="A61" s="114"/>
      <c r="B61" s="123" t="s">
        <v>286</v>
      </c>
      <c r="C61" s="124"/>
      <c r="D61" s="64"/>
      <c r="E61" s="34"/>
    </row>
    <row r="62" spans="1:5" ht="15">
      <c r="A62" s="69">
        <v>2</v>
      </c>
      <c r="B62" s="125" t="s">
        <v>287</v>
      </c>
      <c r="C62" s="126" t="s">
        <v>255</v>
      </c>
      <c r="D62" s="64"/>
      <c r="E62" s="34"/>
    </row>
    <row r="63" spans="1:5" ht="15">
      <c r="A63" s="69" t="s">
        <v>253</v>
      </c>
      <c r="B63" s="70" t="s">
        <v>254</v>
      </c>
      <c r="C63" s="71">
        <f>C36</f>
        <v>601.4312109</v>
      </c>
      <c r="D63" s="64"/>
      <c r="E63" s="34"/>
    </row>
    <row r="64" spans="1:5" ht="15">
      <c r="A64" s="69" t="s">
        <v>261</v>
      </c>
      <c r="B64" s="70" t="s">
        <v>262</v>
      </c>
      <c r="C64" s="71">
        <f>D49+C37</f>
        <v>1401.8675606</v>
      </c>
      <c r="D64" s="64"/>
      <c r="E64" s="34"/>
    </row>
    <row r="65" spans="1:5" ht="15">
      <c r="A65" s="69" t="s">
        <v>276</v>
      </c>
      <c r="B65" s="70" t="s">
        <v>277</v>
      </c>
      <c r="C65" s="71">
        <f>C59</f>
        <v>953.2824</v>
      </c>
      <c r="D65" s="64"/>
      <c r="E65" s="34"/>
    </row>
    <row r="66" spans="1:5" ht="15.75">
      <c r="A66" s="76"/>
      <c r="B66" s="127" t="s">
        <v>258</v>
      </c>
      <c r="C66" s="78">
        <f>SUM(C63:C65)</f>
        <v>2956.5811715</v>
      </c>
      <c r="D66" s="64"/>
      <c r="E66" s="34"/>
    </row>
    <row r="67" spans="1:5" ht="15.75">
      <c r="A67" s="34"/>
      <c r="B67" s="128"/>
      <c r="C67" s="122"/>
      <c r="D67" s="122"/>
      <c r="E67" s="64"/>
    </row>
    <row r="68" spans="1:5" ht="15">
      <c r="A68" s="129"/>
      <c r="B68" s="130" t="s">
        <v>288</v>
      </c>
      <c r="C68" s="131"/>
      <c r="D68" s="64"/>
      <c r="E68" s="34"/>
    </row>
    <row r="69" spans="1:5" ht="15">
      <c r="A69" s="132">
        <v>3</v>
      </c>
      <c r="B69" s="133" t="s">
        <v>289</v>
      </c>
      <c r="C69" s="134" t="s">
        <v>237</v>
      </c>
      <c r="D69" s="64"/>
      <c r="E69" s="34"/>
    </row>
    <row r="70" spans="1:5" ht="15">
      <c r="A70" s="135" t="s">
        <v>238</v>
      </c>
      <c r="B70" s="136" t="s">
        <v>290</v>
      </c>
      <c r="C70" s="137">
        <f>((C29+C34+C35)/12)*5%</f>
        <v>14.7720592120833</v>
      </c>
      <c r="D70" s="64"/>
      <c r="E70" s="34"/>
    </row>
    <row r="71" spans="1:5" ht="15">
      <c r="A71" s="135" t="s">
        <v>240</v>
      </c>
      <c r="B71" s="136" t="s">
        <v>291</v>
      </c>
      <c r="C71" s="138">
        <f>((C29+C34)/12)*5%*8%</f>
        <v>1.0630289293</v>
      </c>
      <c r="D71" s="64"/>
      <c r="E71" s="34"/>
    </row>
    <row r="72" spans="1:5" ht="15">
      <c r="A72" s="135" t="s">
        <v>242</v>
      </c>
      <c r="B72" s="136" t="s">
        <v>292</v>
      </c>
      <c r="C72" s="138">
        <v>0</v>
      </c>
      <c r="D72" s="64"/>
      <c r="E72" s="34"/>
    </row>
    <row r="73" spans="1:5" ht="15">
      <c r="A73" s="135" t="s">
        <v>244</v>
      </c>
      <c r="B73" s="136" t="s">
        <v>293</v>
      </c>
      <c r="C73" s="138">
        <f>(((C29+C56)/30/12)*7)</f>
        <v>57.2417805555556</v>
      </c>
      <c r="D73" s="64"/>
      <c r="E73" s="34"/>
    </row>
    <row r="74" spans="1:5" ht="15">
      <c r="A74" s="135" t="s">
        <v>246</v>
      </c>
      <c r="B74" s="136" t="s">
        <v>294</v>
      </c>
      <c r="C74" s="139">
        <f>(C29/30/12*7)*8%</f>
        <v>4.57934244444445</v>
      </c>
      <c r="D74" s="64"/>
      <c r="E74" s="34"/>
    </row>
    <row r="75" spans="1:5" ht="15">
      <c r="A75" s="135" t="s">
        <v>248</v>
      </c>
      <c r="B75" s="136" t="s">
        <v>295</v>
      </c>
      <c r="C75" s="138">
        <f>C29*4%</f>
        <v>117.75452</v>
      </c>
      <c r="D75" s="64"/>
      <c r="E75" s="34"/>
    </row>
    <row r="76" spans="1:5" ht="15">
      <c r="A76" s="140"/>
      <c r="B76" s="133" t="s">
        <v>81</v>
      </c>
      <c r="C76" s="141">
        <f>SUM(C70:C75)</f>
        <v>195.410731141383</v>
      </c>
      <c r="D76" s="64"/>
      <c r="E76" s="34"/>
    </row>
    <row r="77" spans="1:5" ht="15.75">
      <c r="A77" s="34"/>
      <c r="B77" s="34"/>
      <c r="C77" s="34"/>
      <c r="D77" s="34"/>
      <c r="E77" s="64"/>
    </row>
    <row r="78" spans="1:5" ht="15">
      <c r="A78" s="80"/>
      <c r="B78" s="142" t="s">
        <v>296</v>
      </c>
      <c r="C78" s="143"/>
      <c r="D78" s="144"/>
      <c r="E78" s="34"/>
    </row>
    <row r="79" spans="1:5" ht="15">
      <c r="A79" s="82"/>
      <c r="B79" s="125" t="s">
        <v>297</v>
      </c>
      <c r="C79" s="68"/>
      <c r="D79" s="64"/>
      <c r="E79" s="34"/>
    </row>
    <row r="80" spans="1:5" ht="15">
      <c r="A80" s="66" t="s">
        <v>298</v>
      </c>
      <c r="B80" s="145" t="s">
        <v>299</v>
      </c>
      <c r="C80" s="146" t="s">
        <v>237</v>
      </c>
      <c r="D80" s="64"/>
      <c r="E80" s="34"/>
    </row>
    <row r="81" spans="1:5" ht="15">
      <c r="A81" s="69" t="s">
        <v>238</v>
      </c>
      <c r="B81" s="147" t="s">
        <v>300</v>
      </c>
      <c r="C81" s="148">
        <v>0</v>
      </c>
      <c r="D81" s="64"/>
      <c r="E81" s="34"/>
    </row>
    <row r="82" spans="1:5" ht="15">
      <c r="A82" s="69" t="s">
        <v>240</v>
      </c>
      <c r="B82" s="147" t="s">
        <v>301</v>
      </c>
      <c r="C82" s="148">
        <f>(((C29+C66+C76+C85+C106)-(C54-C55-C103-C104))/30*2.96)/12</f>
        <v>85.8161067620302</v>
      </c>
      <c r="D82" s="64"/>
      <c r="E82" s="34"/>
    </row>
    <row r="83" spans="1:5" ht="15">
      <c r="A83" s="69" t="s">
        <v>242</v>
      </c>
      <c r="B83" s="147" t="s">
        <v>302</v>
      </c>
      <c r="C83" s="148">
        <f>(((C29+C66+C76+C85+C106)-(C54-C55-C103-C104))/30*5*1.5%)/12</f>
        <v>2.1743945970109</v>
      </c>
      <c r="D83" s="64"/>
      <c r="E83" s="34"/>
    </row>
    <row r="84" spans="1:5" ht="15">
      <c r="A84" s="69" t="s">
        <v>244</v>
      </c>
      <c r="B84" s="147" t="s">
        <v>303</v>
      </c>
      <c r="C84" s="148">
        <f>(((C29+C66+C76+C85+C106)-(C54-C55-C103-C104))/30*15*0.78%)/12</f>
        <v>3.39205557133701</v>
      </c>
      <c r="D84" s="64"/>
      <c r="E84" s="34"/>
    </row>
    <row r="85" spans="1:5" ht="15">
      <c r="A85" s="69" t="s">
        <v>246</v>
      </c>
      <c r="B85" s="147" t="s">
        <v>304</v>
      </c>
      <c r="C85" s="148">
        <f>(((C35*3.95/12)+(C56*3.95*1.02%))/12+((C29+C34)*39.8%*3.95)*1.02%/12)</f>
        <v>14.0324963442717</v>
      </c>
      <c r="D85" s="91"/>
      <c r="E85" s="34"/>
    </row>
    <row r="86" spans="1:5" ht="15">
      <c r="A86" s="69" t="s">
        <v>248</v>
      </c>
      <c r="B86" s="149" t="s">
        <v>305</v>
      </c>
      <c r="C86" s="148">
        <v>0</v>
      </c>
      <c r="D86" s="64"/>
      <c r="E86" s="34"/>
    </row>
    <row r="87" spans="1:5" ht="15.75">
      <c r="A87" s="76"/>
      <c r="B87" s="150" t="s">
        <v>81</v>
      </c>
      <c r="C87" s="111">
        <f>SUM(C81:C86)</f>
        <v>105.41505327465</v>
      </c>
      <c r="D87" s="64"/>
      <c r="E87" s="34"/>
    </row>
    <row r="88" spans="1:5" ht="15.75">
      <c r="A88" s="112"/>
      <c r="B88" s="112"/>
      <c r="C88" s="112"/>
      <c r="D88" s="34"/>
      <c r="E88" s="64"/>
    </row>
    <row r="89" spans="1:5" ht="15">
      <c r="A89" s="151"/>
      <c r="B89" s="152" t="s">
        <v>306</v>
      </c>
      <c r="C89" s="152"/>
      <c r="D89" s="64"/>
      <c r="E89" s="34"/>
    </row>
    <row r="90" spans="1:5" ht="15">
      <c r="A90" s="66" t="s">
        <v>307</v>
      </c>
      <c r="B90" s="145" t="s">
        <v>308</v>
      </c>
      <c r="C90" s="146" t="s">
        <v>237</v>
      </c>
      <c r="D90" s="64"/>
      <c r="E90" s="34"/>
    </row>
    <row r="91" spans="1:5" ht="15">
      <c r="A91" s="69" t="s">
        <v>238</v>
      </c>
      <c r="B91" s="153" t="s">
        <v>309</v>
      </c>
      <c r="C91" s="154">
        <v>0</v>
      </c>
      <c r="D91" s="64"/>
      <c r="E91" s="34"/>
    </row>
    <row r="92" spans="1:5" ht="15.75">
      <c r="A92" s="155"/>
      <c r="B92" s="150" t="s">
        <v>81</v>
      </c>
      <c r="C92" s="156">
        <v>0</v>
      </c>
      <c r="D92" s="157"/>
      <c r="E92" s="34"/>
    </row>
    <row r="93" spans="1:5" ht="15.75">
      <c r="A93" s="112"/>
      <c r="B93" s="112"/>
      <c r="C93" s="112"/>
      <c r="D93" s="34"/>
      <c r="E93" s="64"/>
    </row>
    <row r="94" spans="1:5" ht="15">
      <c r="A94" s="114"/>
      <c r="B94" s="123" t="s">
        <v>310</v>
      </c>
      <c r="C94" s="124"/>
      <c r="D94" s="64"/>
      <c r="E94" s="34"/>
    </row>
    <row r="95" spans="1:5" ht="15">
      <c r="A95" s="66">
        <v>4</v>
      </c>
      <c r="B95" s="125" t="s">
        <v>311</v>
      </c>
      <c r="C95" s="126" t="s">
        <v>255</v>
      </c>
      <c r="D95" s="64"/>
      <c r="E95" s="34"/>
    </row>
    <row r="96" spans="1:5" ht="15">
      <c r="A96" s="69" t="s">
        <v>298</v>
      </c>
      <c r="B96" s="70" t="s">
        <v>299</v>
      </c>
      <c r="C96" s="71">
        <f>C87</f>
        <v>105.41505327465</v>
      </c>
      <c r="D96" s="158"/>
      <c r="E96" s="159"/>
    </row>
    <row r="97" spans="1:5" ht="15">
      <c r="A97" s="69" t="s">
        <v>307</v>
      </c>
      <c r="B97" s="70" t="s">
        <v>308</v>
      </c>
      <c r="C97" s="71">
        <v>0</v>
      </c>
      <c r="D97" s="64"/>
      <c r="E97" s="34"/>
    </row>
    <row r="98" spans="1:5" ht="15.75">
      <c r="A98" s="76"/>
      <c r="B98" s="127" t="s">
        <v>258</v>
      </c>
      <c r="C98" s="78">
        <f>SUM(C96:C97)</f>
        <v>105.41505327465</v>
      </c>
      <c r="D98" s="64"/>
      <c r="E98" s="34"/>
    </row>
    <row r="99" spans="1:5" ht="15.75">
      <c r="A99" s="34"/>
      <c r="B99" s="34"/>
      <c r="C99" s="34"/>
      <c r="D99" s="34"/>
      <c r="E99" s="34"/>
    </row>
    <row r="100" spans="1:5" ht="15">
      <c r="A100" s="160"/>
      <c r="B100" s="142" t="s">
        <v>312</v>
      </c>
      <c r="C100" s="161"/>
      <c r="D100" s="34"/>
      <c r="E100" s="34"/>
    </row>
    <row r="101" spans="1:5" ht="15">
      <c r="A101" s="162">
        <v>5</v>
      </c>
      <c r="B101" s="163" t="s">
        <v>313</v>
      </c>
      <c r="C101" s="68" t="s">
        <v>237</v>
      </c>
      <c r="D101" s="34"/>
      <c r="E101" s="34"/>
    </row>
    <row r="102" spans="1:5" ht="15">
      <c r="A102" s="164" t="s">
        <v>238</v>
      </c>
      <c r="B102" s="165" t="s">
        <v>314</v>
      </c>
      <c r="C102" s="166">
        <f>'An IID Uniformes'!H53</f>
        <v>87.7783333333334</v>
      </c>
      <c r="D102" s="34"/>
      <c r="E102" s="34"/>
    </row>
    <row r="103" spans="1:5" ht="15">
      <c r="A103" s="164" t="s">
        <v>240</v>
      </c>
      <c r="B103" s="167" t="s">
        <v>315</v>
      </c>
      <c r="C103" s="168">
        <f>'An IIC Relacao Materiais'!F37</f>
        <v>1160</v>
      </c>
      <c r="D103" s="169"/>
      <c r="E103" s="169"/>
    </row>
    <row r="104" spans="1:5" ht="15">
      <c r="A104" s="164" t="s">
        <v>242</v>
      </c>
      <c r="B104" s="165" t="s">
        <v>316</v>
      </c>
      <c r="C104" s="170">
        <f>'An IIB Relacao Equip'!F31</f>
        <v>767.484366666667</v>
      </c>
      <c r="D104" s="169"/>
      <c r="E104" s="34"/>
    </row>
    <row r="105" spans="1:5" ht="15">
      <c r="A105" s="171" t="s">
        <v>244</v>
      </c>
      <c r="B105" s="172" t="s">
        <v>317</v>
      </c>
      <c r="C105" s="173">
        <v>0</v>
      </c>
      <c r="D105" s="34"/>
      <c r="E105" s="34"/>
    </row>
    <row r="106" spans="1:5" ht="15.75">
      <c r="A106" s="174"/>
      <c r="B106" s="175" t="s">
        <v>318</v>
      </c>
      <c r="C106" s="176">
        <f>C102+C103+C104</f>
        <v>2015.2627</v>
      </c>
      <c r="D106" s="177"/>
      <c r="E106" s="34"/>
    </row>
    <row r="107" spans="1:5" ht="15.75">
      <c r="A107" s="178"/>
      <c r="B107" s="179"/>
      <c r="C107" s="180"/>
      <c r="D107" s="180"/>
      <c r="E107" s="34"/>
    </row>
    <row r="108" spans="1:5" ht="15">
      <c r="A108" s="181"/>
      <c r="B108" s="81" t="s">
        <v>319</v>
      </c>
      <c r="C108" s="81"/>
      <c r="D108" s="81"/>
      <c r="E108" s="34"/>
    </row>
    <row r="109" spans="1:5" ht="15">
      <c r="A109" s="162">
        <v>6</v>
      </c>
      <c r="B109" s="145" t="s">
        <v>320</v>
      </c>
      <c r="C109" s="182" t="s">
        <v>263</v>
      </c>
      <c r="D109" s="146" t="s">
        <v>237</v>
      </c>
      <c r="E109" s="34"/>
    </row>
    <row r="110" spans="1:5" ht="15">
      <c r="A110" s="164" t="s">
        <v>238</v>
      </c>
      <c r="B110" s="183" t="s">
        <v>321</v>
      </c>
      <c r="C110" s="184">
        <v>4.47</v>
      </c>
      <c r="D110" s="86">
        <f>(C127)*C110/100</f>
        <v>367.279009719447</v>
      </c>
      <c r="E110" s="34"/>
    </row>
    <row r="111" spans="1:5" ht="15">
      <c r="A111" s="164" t="s">
        <v>240</v>
      </c>
      <c r="B111" s="183" t="s">
        <v>322</v>
      </c>
      <c r="C111" s="184">
        <v>3.06</v>
      </c>
      <c r="D111" s="86">
        <f>(C127+D110)*C111/100</f>
        <v>262.664636968446</v>
      </c>
      <c r="E111" s="34"/>
    </row>
    <row r="112" spans="1:5" ht="15">
      <c r="A112" s="164" t="s">
        <v>242</v>
      </c>
      <c r="B112" s="183" t="s">
        <v>323</v>
      </c>
      <c r="C112" s="184"/>
      <c r="D112" s="86"/>
      <c r="E112" s="34"/>
    </row>
    <row r="113" spans="1:5" ht="15">
      <c r="A113" s="164"/>
      <c r="B113" s="183" t="s">
        <v>324</v>
      </c>
      <c r="C113" s="184">
        <f>3+0.65</f>
        <v>3.65</v>
      </c>
      <c r="D113" s="86">
        <f>((C127+D110+D111)/(1-(C113+C115)/100))*C113/100</f>
        <v>353.471685873063</v>
      </c>
      <c r="E113" s="34"/>
    </row>
    <row r="114" spans="1:5" ht="15">
      <c r="A114" s="164"/>
      <c r="B114" s="183" t="s">
        <v>325</v>
      </c>
      <c r="C114" s="184"/>
      <c r="D114" s="86"/>
      <c r="E114" s="34"/>
    </row>
    <row r="115" spans="1:5" ht="15">
      <c r="A115" s="164"/>
      <c r="B115" s="183" t="s">
        <v>326</v>
      </c>
      <c r="C115" s="185">
        <v>5</v>
      </c>
      <c r="D115" s="86">
        <f>((C127+D110+D111)/(1-(C113+C115)/100))*C115/100</f>
        <v>484.20778886721</v>
      </c>
      <c r="E115" s="34"/>
    </row>
    <row r="116" spans="1:5" ht="15">
      <c r="A116" s="164"/>
      <c r="B116" s="183" t="s">
        <v>327</v>
      </c>
      <c r="C116" s="184"/>
      <c r="D116" s="86"/>
      <c r="E116" s="34"/>
    </row>
    <row r="117" spans="1:5" ht="15.75">
      <c r="A117" s="186"/>
      <c r="B117" s="150" t="s">
        <v>81</v>
      </c>
      <c r="C117" s="187">
        <f>SUM(C110:C116)</f>
        <v>16.18</v>
      </c>
      <c r="D117" s="111">
        <f>SUM(D110:D116)</f>
        <v>1467.62312142817</v>
      </c>
      <c r="E117" s="34"/>
    </row>
    <row r="118" spans="1:5" ht="15">
      <c r="A118" s="178"/>
      <c r="B118" s="179"/>
      <c r="C118" s="180"/>
      <c r="D118" s="180"/>
      <c r="E118" s="34"/>
    </row>
    <row r="119" spans="1:5" ht="15">
      <c r="A119" s="188" t="s">
        <v>328</v>
      </c>
      <c r="B119" s="188"/>
      <c r="C119" s="188"/>
      <c r="D119" s="189"/>
      <c r="E119" s="159"/>
    </row>
    <row r="120" spans="1:5" ht="15.75">
      <c r="A120" s="34"/>
      <c r="B120" s="189"/>
      <c r="C120" s="34"/>
      <c r="D120" s="34"/>
      <c r="E120" s="159"/>
    </row>
    <row r="121" spans="1:5" ht="15">
      <c r="A121" s="114"/>
      <c r="B121" s="190" t="s">
        <v>329</v>
      </c>
      <c r="C121" s="191" t="s">
        <v>237</v>
      </c>
      <c r="D121" s="159"/>
      <c r="E121" s="159"/>
    </row>
    <row r="122" spans="1:5" ht="15">
      <c r="A122" s="82" t="s">
        <v>238</v>
      </c>
      <c r="B122" s="183" t="s">
        <v>330</v>
      </c>
      <c r="C122" s="86">
        <f>C29</f>
        <v>2943.863</v>
      </c>
      <c r="D122" s="159"/>
      <c r="E122" s="159"/>
    </row>
    <row r="123" spans="1:5" ht="15">
      <c r="A123" s="82" t="s">
        <v>240</v>
      </c>
      <c r="B123" s="183" t="s">
        <v>331</v>
      </c>
      <c r="C123" s="86">
        <f>C66</f>
        <v>2956.5811715</v>
      </c>
      <c r="D123" s="159"/>
      <c r="E123" s="159"/>
    </row>
    <row r="124" spans="1:5" ht="15">
      <c r="A124" s="82" t="s">
        <v>242</v>
      </c>
      <c r="B124" s="183" t="s">
        <v>332</v>
      </c>
      <c r="C124" s="86">
        <f>C76</f>
        <v>195.410731141383</v>
      </c>
      <c r="D124" s="159"/>
      <c r="E124" s="159"/>
    </row>
    <row r="125" spans="1:5" ht="15">
      <c r="A125" s="82" t="s">
        <v>244</v>
      </c>
      <c r="B125" s="183" t="s">
        <v>333</v>
      </c>
      <c r="C125" s="86">
        <f>C98</f>
        <v>105.41505327465</v>
      </c>
      <c r="D125" s="159"/>
      <c r="E125" s="159"/>
    </row>
    <row r="126" spans="1:5" ht="15">
      <c r="A126" s="82" t="s">
        <v>246</v>
      </c>
      <c r="B126" s="183" t="s">
        <v>334</v>
      </c>
      <c r="C126" s="86">
        <f>C106</f>
        <v>2015.2627</v>
      </c>
      <c r="D126" s="159"/>
      <c r="E126" s="159"/>
    </row>
    <row r="127" spans="1:5" ht="15">
      <c r="A127" s="82"/>
      <c r="B127" s="182" t="s">
        <v>335</v>
      </c>
      <c r="C127" s="192">
        <f>SUM(C122:C126)</f>
        <v>8216.53265591603</v>
      </c>
      <c r="D127" s="159"/>
      <c r="E127" s="159"/>
    </row>
    <row r="128" spans="1:5" ht="15">
      <c r="A128" s="82" t="s">
        <v>248</v>
      </c>
      <c r="B128" s="183" t="s">
        <v>336</v>
      </c>
      <c r="C128" s="86">
        <f>D117</f>
        <v>1467.62312142817</v>
      </c>
      <c r="D128" s="159"/>
      <c r="E128" s="159"/>
    </row>
    <row r="129" spans="1:5" ht="15">
      <c r="A129" s="82"/>
      <c r="B129" s="145" t="s">
        <v>337</v>
      </c>
      <c r="C129" s="192">
        <f>SUM(C127:C128)</f>
        <v>9684.1557773442</v>
      </c>
      <c r="D129" s="159"/>
      <c r="E129" s="159"/>
    </row>
    <row r="130" spans="1:5" ht="15.75">
      <c r="A130" s="76"/>
      <c r="B130" s="193" t="s">
        <v>339</v>
      </c>
      <c r="C130" s="194">
        <f>C129/C29</f>
        <v>3.28960817040202</v>
      </c>
      <c r="D130" s="159"/>
      <c r="E130" s="159"/>
    </row>
    <row r="131" spans="1:5" ht="15">
      <c r="A131" s="34"/>
      <c r="B131" s="189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">
      <c r="A133" s="181"/>
      <c r="B133" s="81" t="s">
        <v>340</v>
      </c>
      <c r="C133" s="81"/>
      <c r="D133" s="81"/>
      <c r="E133" s="34"/>
    </row>
    <row r="134" spans="1:5" ht="15">
      <c r="A134" s="162">
        <v>6</v>
      </c>
      <c r="B134" s="145" t="s">
        <v>320</v>
      </c>
      <c r="C134" s="182" t="s">
        <v>263</v>
      </c>
      <c r="D134" s="146" t="s">
        <v>237</v>
      </c>
      <c r="E134" s="34"/>
    </row>
    <row r="135" spans="1:5" ht="15">
      <c r="A135" s="164" t="s">
        <v>238</v>
      </c>
      <c r="B135" s="183" t="s">
        <v>321</v>
      </c>
      <c r="C135" s="184">
        <v>4.47</v>
      </c>
      <c r="D135" s="86">
        <f>(C152)*C135/100</f>
        <v>367.279009719447</v>
      </c>
      <c r="E135" s="34"/>
    </row>
    <row r="136" spans="1:5" ht="15">
      <c r="A136" s="164" t="s">
        <v>240</v>
      </c>
      <c r="B136" s="183" t="s">
        <v>322</v>
      </c>
      <c r="C136" s="184">
        <v>3.06</v>
      </c>
      <c r="D136" s="86">
        <f>(C152+D135)*C136/100</f>
        <v>262.664636968446</v>
      </c>
      <c r="E136" s="34"/>
    </row>
    <row r="137" spans="1:5" ht="15">
      <c r="A137" s="164" t="s">
        <v>242</v>
      </c>
      <c r="B137" s="183" t="s">
        <v>323</v>
      </c>
      <c r="C137" s="184"/>
      <c r="D137" s="86"/>
      <c r="E137" s="34"/>
    </row>
    <row r="138" spans="1:5" ht="15">
      <c r="A138" s="164"/>
      <c r="B138" s="183" t="s">
        <v>341</v>
      </c>
      <c r="C138" s="107">
        <f>1.65+7.6</f>
        <v>9.25</v>
      </c>
      <c r="D138" s="86">
        <f>((C152+D135+D136)/(1-(C138+C140)/100))*C138/100</f>
        <v>954.284615732785</v>
      </c>
      <c r="E138" s="34"/>
    </row>
    <row r="139" spans="1:5" ht="15">
      <c r="A139" s="164"/>
      <c r="B139" s="183" t="s">
        <v>325</v>
      </c>
      <c r="C139" s="184"/>
      <c r="D139" s="86"/>
      <c r="E139" s="34"/>
    </row>
    <row r="140" spans="1:5" ht="15">
      <c r="A140" s="164"/>
      <c r="B140" s="183" t="s">
        <v>326</v>
      </c>
      <c r="C140" s="185">
        <v>5</v>
      </c>
      <c r="D140" s="86">
        <f>((C152+D135+D136)/(1-(C138+C140)/100))*C140/100</f>
        <v>515.829522017722</v>
      </c>
      <c r="E140" s="34"/>
    </row>
    <row r="141" spans="1:5" ht="15">
      <c r="A141" s="164"/>
      <c r="B141" s="183" t="s">
        <v>327</v>
      </c>
      <c r="C141" s="184"/>
      <c r="D141" s="86"/>
      <c r="E141" s="34"/>
    </row>
    <row r="142" spans="1:5" ht="15.75">
      <c r="A142" s="186"/>
      <c r="B142" s="150" t="s">
        <v>81</v>
      </c>
      <c r="C142" s="187">
        <f>SUM(C135:C141)</f>
        <v>21.78</v>
      </c>
      <c r="D142" s="111">
        <f>SUM(D135:D141)</f>
        <v>2100.0577844384</v>
      </c>
      <c r="E142" s="34"/>
    </row>
    <row r="143" spans="1:5" ht="15">
      <c r="A143" s="112"/>
      <c r="B143" s="112"/>
      <c r="C143" s="112"/>
      <c r="D143" s="112"/>
      <c r="E143" s="34"/>
    </row>
    <row r="144" spans="1:5" ht="15">
      <c r="A144" s="195" t="s">
        <v>328</v>
      </c>
      <c r="B144" s="195"/>
      <c r="C144" s="195"/>
      <c r="D144" s="196"/>
      <c r="E144" s="34"/>
    </row>
    <row r="145" spans="1:5" ht="15.75">
      <c r="A145" s="112"/>
      <c r="B145" s="197"/>
      <c r="C145" s="112"/>
      <c r="D145" s="196"/>
      <c r="E145" s="34"/>
    </row>
    <row r="146" spans="1:5" ht="15">
      <c r="A146" s="114"/>
      <c r="B146" s="190" t="s">
        <v>329</v>
      </c>
      <c r="C146" s="191" t="s">
        <v>237</v>
      </c>
      <c r="D146" s="196"/>
      <c r="E146" s="34"/>
    </row>
    <row r="147" spans="1:5" ht="15">
      <c r="A147" s="82" t="s">
        <v>238</v>
      </c>
      <c r="B147" s="183" t="s">
        <v>330</v>
      </c>
      <c r="C147" s="86">
        <f>C122</f>
        <v>2943.863</v>
      </c>
      <c r="D147" s="196"/>
      <c r="E147" s="34"/>
    </row>
    <row r="148" spans="1:5" ht="15">
      <c r="A148" s="82" t="s">
        <v>240</v>
      </c>
      <c r="B148" s="183" t="s">
        <v>331</v>
      </c>
      <c r="C148" s="86">
        <f>C123</f>
        <v>2956.5811715</v>
      </c>
      <c r="D148" s="196"/>
      <c r="E148" s="34"/>
    </row>
    <row r="149" spans="1:5" ht="15">
      <c r="A149" s="82" t="s">
        <v>242</v>
      </c>
      <c r="B149" s="183" t="s">
        <v>332</v>
      </c>
      <c r="C149" s="86">
        <f>C124</f>
        <v>195.410731141383</v>
      </c>
      <c r="D149" s="196"/>
      <c r="E149" s="34"/>
    </row>
    <row r="150" spans="1:5" ht="15">
      <c r="A150" s="82" t="s">
        <v>244</v>
      </c>
      <c r="B150" s="183" t="s">
        <v>333</v>
      </c>
      <c r="C150" s="86">
        <f>C125</f>
        <v>105.41505327465</v>
      </c>
      <c r="D150" s="196"/>
      <c r="E150" s="34"/>
    </row>
    <row r="151" spans="1:5" ht="15">
      <c r="A151" s="82" t="s">
        <v>246</v>
      </c>
      <c r="B151" s="183" t="s">
        <v>334</v>
      </c>
      <c r="C151" s="86">
        <f>C126</f>
        <v>2015.2627</v>
      </c>
      <c r="D151" s="196"/>
      <c r="E151" s="34"/>
    </row>
    <row r="152" spans="1:5" ht="15">
      <c r="A152" s="82"/>
      <c r="B152" s="182" t="s">
        <v>335</v>
      </c>
      <c r="C152" s="192">
        <f>SUM(C147:C151)</f>
        <v>8216.53265591603</v>
      </c>
      <c r="D152" s="196"/>
      <c r="E152" s="34"/>
    </row>
    <row r="153" spans="1:5" ht="15">
      <c r="A153" s="82" t="s">
        <v>248</v>
      </c>
      <c r="B153" s="183" t="s">
        <v>336</v>
      </c>
      <c r="C153" s="86">
        <f>D142</f>
        <v>2100.0577844384</v>
      </c>
      <c r="D153" s="196"/>
      <c r="E153" s="34"/>
    </row>
    <row r="154" spans="1:5" ht="15">
      <c r="A154" s="82"/>
      <c r="B154" s="145" t="s">
        <v>337</v>
      </c>
      <c r="C154" s="192">
        <f>SUM(C152:C153)</f>
        <v>10316.5904403544</v>
      </c>
      <c r="D154" s="196"/>
      <c r="E154" s="34"/>
    </row>
    <row r="155" spans="1:5" ht="15.75">
      <c r="A155" s="76"/>
      <c r="B155" s="193" t="s">
        <v>339</v>
      </c>
      <c r="C155" s="194">
        <f>C154/C29</f>
        <v>3.50443972438746</v>
      </c>
      <c r="D155" s="196"/>
      <c r="E155" s="34"/>
    </row>
  </sheetData>
  <mergeCells count="24">
    <mergeCell ref="A1:E1"/>
    <mergeCell ref="A2:E2"/>
    <mergeCell ref="A4:E4"/>
    <mergeCell ref="A5:E5"/>
    <mergeCell ref="B7:E7"/>
    <mergeCell ref="B9:E9"/>
    <mergeCell ref="C11:E11"/>
    <mergeCell ref="C12:E12"/>
    <mergeCell ref="C13:E13"/>
    <mergeCell ref="C14:E14"/>
    <mergeCell ref="C15:E15"/>
    <mergeCell ref="C16:E16"/>
    <mergeCell ref="C17:E17"/>
    <mergeCell ref="C18:E18"/>
    <mergeCell ref="A21:C21"/>
    <mergeCell ref="B30:D30"/>
    <mergeCell ref="B31:C31"/>
    <mergeCell ref="B32:C32"/>
    <mergeCell ref="A39:D39"/>
    <mergeCell ref="B89:C89"/>
    <mergeCell ref="B108:D108"/>
    <mergeCell ref="A119:C119"/>
    <mergeCell ref="B133:D133"/>
    <mergeCell ref="A144:C144"/>
  </mergeCells>
  <printOptions/>
  <pageMargins left="0.511811024" right="0.511811024" top="0.787401575" bottom="0.787401575" header="0.31496062" footer="0.31496062"/>
  <pageSetup horizontalDpi="600" verticalDpi="600" orientation="portrait" paperSize="9" scale="84"/>
  <headerFooter>
    <oddHeader>&amp;L&amp;G&amp;CProcesso 23069.167552/2021-41
PE 88/2021&amp;R&amp;G</oddHead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5"/>
  <sheetViews>
    <sheetView workbookViewId="0" topLeftCell="A3">
      <selection activeCell="A11" sqref="A11:G12"/>
    </sheetView>
  </sheetViews>
  <sheetFormatPr defaultColWidth="9.00390625" defaultRowHeight="15" outlineLevelCol="7"/>
  <cols>
    <col min="2" max="2" width="47.421875" style="0" customWidth="1"/>
    <col min="3" max="3" width="8.57421875" style="0" customWidth="1"/>
    <col min="4" max="4" width="16.140625" style="0" customWidth="1"/>
    <col min="5" max="5" width="16.28125" style="0" customWidth="1"/>
    <col min="6" max="6" width="20.421875" style="0" customWidth="1"/>
    <col min="7" max="7" width="15.28125" style="0" customWidth="1"/>
    <col min="8" max="8" width="9.140625" style="0" customWidth="1"/>
  </cols>
  <sheetData>
    <row r="1" spans="1:8" ht="14.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2"/>
      <c r="C2" s="2"/>
      <c r="D2" s="2"/>
      <c r="E2" s="2"/>
      <c r="F2" s="2"/>
      <c r="G2" s="2"/>
      <c r="H2" s="2"/>
    </row>
    <row r="3" spans="1:8" ht="18.75">
      <c r="A3" s="2"/>
      <c r="B3" s="2"/>
      <c r="C3" s="2"/>
      <c r="D3" s="2"/>
      <c r="E3" s="2"/>
      <c r="F3" s="2"/>
      <c r="G3" s="2"/>
      <c r="H3" s="2"/>
    </row>
    <row r="4" spans="1:8" ht="14.4" customHeight="1">
      <c r="A4" s="3" t="s">
        <v>358</v>
      </c>
      <c r="B4" s="3"/>
      <c r="C4" s="3"/>
      <c r="D4" s="3"/>
      <c r="E4" s="3"/>
      <c r="F4" s="3"/>
      <c r="G4" s="3"/>
      <c r="H4" s="4"/>
    </row>
    <row r="5" spans="1:8" ht="35.4" customHeight="1">
      <c r="A5" s="5" t="s">
        <v>5</v>
      </c>
      <c r="B5" s="5"/>
      <c r="C5" s="5"/>
      <c r="D5" s="5"/>
      <c r="E5" s="5"/>
      <c r="F5" s="5"/>
      <c r="G5" s="5"/>
      <c r="H5" s="6"/>
    </row>
    <row r="7" spans="1:7" ht="15">
      <c r="A7" s="7" t="s">
        <v>64</v>
      </c>
      <c r="B7" s="7"/>
      <c r="C7" s="7"/>
      <c r="D7" s="7"/>
      <c r="E7" s="7"/>
      <c r="F7" s="7"/>
      <c r="G7" s="7"/>
    </row>
    <row r="8" spans="1:7" ht="30">
      <c r="A8" s="8" t="s">
        <v>65</v>
      </c>
      <c r="B8" s="8" t="s">
        <v>66</v>
      </c>
      <c r="C8" s="8" t="s">
        <v>11</v>
      </c>
      <c r="D8" s="8" t="s">
        <v>67</v>
      </c>
      <c r="E8" s="8" t="s">
        <v>68</v>
      </c>
      <c r="F8" s="8" t="s">
        <v>69</v>
      </c>
      <c r="G8" s="8" t="s">
        <v>70</v>
      </c>
    </row>
    <row r="9" spans="1:7" ht="15">
      <c r="A9" s="9">
        <v>1</v>
      </c>
      <c r="B9" s="10" t="s">
        <v>359</v>
      </c>
      <c r="C9" s="9">
        <v>22</v>
      </c>
      <c r="D9" s="9">
        <f>+C9*2</f>
        <v>44</v>
      </c>
      <c r="E9" s="11">
        <f>'An IIIA Arm 12 Diurno'!C156</f>
        <v>10879.7908866977</v>
      </c>
      <c r="F9" s="11">
        <f>E9*C9</f>
        <v>239355.39950735</v>
      </c>
      <c r="G9" s="11">
        <f>12*F9</f>
        <v>2872264.7940882</v>
      </c>
    </row>
    <row r="10" spans="1:7" ht="15">
      <c r="A10" s="9">
        <v>2</v>
      </c>
      <c r="B10" s="10" t="s">
        <v>360</v>
      </c>
      <c r="C10" s="9">
        <v>32</v>
      </c>
      <c r="D10" s="9">
        <f>+C10*2</f>
        <v>64</v>
      </c>
      <c r="E10" s="11">
        <f>'An IIIB Arm 12 Not'!C156</f>
        <v>11620.4409590908</v>
      </c>
      <c r="F10" s="11">
        <f>E10*C10</f>
        <v>371854.110690904</v>
      </c>
      <c r="G10" s="11">
        <f>12*F10</f>
        <v>4462249.32829085</v>
      </c>
    </row>
    <row r="11" spans="1:7" ht="15">
      <c r="A11" s="9">
        <v>3</v>
      </c>
      <c r="B11" s="12" t="s">
        <v>73</v>
      </c>
      <c r="C11" s="13" t="s">
        <v>74</v>
      </c>
      <c r="D11" s="14"/>
      <c r="E11" s="14"/>
      <c r="F11" s="14"/>
      <c r="G11" s="15"/>
    </row>
    <row r="12" spans="1:7" ht="15">
      <c r="A12" s="9">
        <v>4</v>
      </c>
      <c r="B12" s="12" t="s">
        <v>75</v>
      </c>
      <c r="C12" s="13" t="s">
        <v>74</v>
      </c>
      <c r="D12" s="14"/>
      <c r="E12" s="14"/>
      <c r="F12" s="14"/>
      <c r="G12" s="15"/>
    </row>
    <row r="13" spans="1:7" ht="15">
      <c r="A13" s="9">
        <v>5</v>
      </c>
      <c r="B13" s="10" t="s">
        <v>361</v>
      </c>
      <c r="C13" s="9">
        <v>8</v>
      </c>
      <c r="D13" s="9">
        <f aca="true" t="shared" si="0" ref="D13:D16">+C13*2</f>
        <v>16</v>
      </c>
      <c r="E13" s="11">
        <f>'An IIIC Moto 12 Diurno'!C156</f>
        <v>12779.3262879584</v>
      </c>
      <c r="F13" s="11">
        <f>E13*C13</f>
        <v>102234.610303667</v>
      </c>
      <c r="G13" s="11">
        <f aca="true" t="shared" si="1" ref="G13:G18">12*F13</f>
        <v>1226815.323644</v>
      </c>
    </row>
    <row r="14" spans="1:7" ht="15">
      <c r="A14" s="9">
        <v>6</v>
      </c>
      <c r="B14" s="10" t="s">
        <v>362</v>
      </c>
      <c r="C14" s="9">
        <v>8</v>
      </c>
      <c r="D14" s="9">
        <f t="shared" si="0"/>
        <v>16</v>
      </c>
      <c r="E14" s="11">
        <f>'An IIID Moto 12 Not'!C156</f>
        <v>13668.1063748301</v>
      </c>
      <c r="F14" s="11">
        <f>E14*C14</f>
        <v>109344.850998641</v>
      </c>
      <c r="G14" s="11">
        <f t="shared" si="1"/>
        <v>1312138.21198369</v>
      </c>
    </row>
    <row r="15" spans="1:7" ht="15">
      <c r="A15" s="9">
        <v>7</v>
      </c>
      <c r="B15" s="10" t="s">
        <v>363</v>
      </c>
      <c r="C15" s="9">
        <v>1</v>
      </c>
      <c r="D15" s="9">
        <f t="shared" si="0"/>
        <v>2</v>
      </c>
      <c r="E15" s="11">
        <f>'An IIIE Sup. 12Diurno'!C156</f>
        <v>19570.2123033097</v>
      </c>
      <c r="F15" s="11">
        <f>E15*C15</f>
        <v>19570.2123033097</v>
      </c>
      <c r="G15" s="11">
        <f t="shared" si="1"/>
        <v>234842.547639716</v>
      </c>
    </row>
    <row r="16" spans="1:7" ht="15">
      <c r="A16" s="9">
        <v>8</v>
      </c>
      <c r="B16" s="10" t="s">
        <v>364</v>
      </c>
      <c r="C16" s="9">
        <v>1</v>
      </c>
      <c r="D16" s="9">
        <f t="shared" si="0"/>
        <v>2</v>
      </c>
      <c r="E16" s="11">
        <f>'An IIIF Sup. 12Not'!C156</f>
        <v>20681.756802902</v>
      </c>
      <c r="F16" s="11">
        <f>E16*C16</f>
        <v>20681.756802902</v>
      </c>
      <c r="G16" s="11">
        <f t="shared" si="1"/>
        <v>248181.081634824</v>
      </c>
    </row>
    <row r="17" spans="1:7" ht="15">
      <c r="A17" s="9">
        <v>9</v>
      </c>
      <c r="B17" s="10" t="s">
        <v>365</v>
      </c>
      <c r="C17" s="9">
        <v>1</v>
      </c>
      <c r="D17" s="9">
        <v>1</v>
      </c>
      <c r="E17" s="11">
        <f>'An IIII G Sup. 44D'!C154</f>
        <v>10316.5904403544</v>
      </c>
      <c r="F17" s="11">
        <f>E17*C17</f>
        <v>10316.5904403544</v>
      </c>
      <c r="G17" s="11">
        <f t="shared" si="1"/>
        <v>123799.085284253</v>
      </c>
    </row>
    <row r="18" spans="1:7" ht="15">
      <c r="A18" s="16" t="s">
        <v>81</v>
      </c>
      <c r="B18" s="17"/>
      <c r="C18" s="8">
        <f>SUM(C9:C17)</f>
        <v>73</v>
      </c>
      <c r="D18" s="8">
        <f>SUM(D9:D17)</f>
        <v>145</v>
      </c>
      <c r="E18" s="18"/>
      <c r="F18" s="18">
        <f>SUM(F9:F17)</f>
        <v>873357.531047128</v>
      </c>
      <c r="G18" s="18">
        <f t="shared" si="1"/>
        <v>10480290.3725655</v>
      </c>
    </row>
    <row r="20" spans="1:7" ht="15">
      <c r="A20" s="19">
        <v>10</v>
      </c>
      <c r="B20" s="20" t="s">
        <v>82</v>
      </c>
      <c r="C20" s="21">
        <v>4</v>
      </c>
      <c r="D20" s="21">
        <v>48</v>
      </c>
      <c r="E20" s="22">
        <v>237.37</v>
      </c>
      <c r="F20" s="22">
        <f aca="true" t="shared" si="2" ref="F20">E20*C20</f>
        <v>949.48</v>
      </c>
      <c r="G20" s="22">
        <f aca="true" t="shared" si="3" ref="G20">12*F20</f>
        <v>11393.76</v>
      </c>
    </row>
    <row r="21" ht="15">
      <c r="A21" s="23"/>
    </row>
    <row r="22" spans="1:7" ht="15">
      <c r="A22" s="24" t="s">
        <v>83</v>
      </c>
      <c r="B22" s="25"/>
      <c r="C22" s="26"/>
      <c r="D22" s="26"/>
      <c r="E22" s="27"/>
      <c r="F22" s="27">
        <f>+F20+F18</f>
        <v>874307.011047128</v>
      </c>
      <c r="G22" s="27">
        <f>+G20+G18</f>
        <v>10491684.1325655</v>
      </c>
    </row>
    <row r="23" ht="15">
      <c r="A23" s="23"/>
    </row>
    <row r="24" ht="15">
      <c r="A24" s="23"/>
    </row>
    <row r="25" ht="15">
      <c r="A25" s="23"/>
    </row>
  </sheetData>
  <mergeCells count="9">
    <mergeCell ref="A1:H1"/>
    <mergeCell ref="A2:H2"/>
    <mergeCell ref="A4:G4"/>
    <mergeCell ref="A5:G5"/>
    <mergeCell ref="A7:G7"/>
    <mergeCell ref="C11:G11"/>
    <mergeCell ref="C12:G12"/>
    <mergeCell ref="A18:B18"/>
    <mergeCell ref="A22:B22"/>
  </mergeCells>
  <printOptions/>
  <pageMargins left="0.511811023622047" right="0.511811023622047" top="0.866141732283464" bottom="0.78740157480315" header="0.31496062992126" footer="0.31496062992126"/>
  <pageSetup horizontalDpi="600" verticalDpi="600" orientation="landscape" paperSize="9"/>
  <headerFooter>
    <oddHeader>&amp;L&amp;G&amp;CPE 88/2021&amp;R&amp;G</oddHeader>
    <oddFooter>&amp;R&amp;P/&amp;N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86"/>
  <sheetViews>
    <sheetView tabSelected="1" workbookViewId="0" topLeftCell="A63">
      <selection activeCell="E80" sqref="E80"/>
    </sheetView>
  </sheetViews>
  <sheetFormatPr defaultColWidth="9.00390625" defaultRowHeight="15" outlineLevelCol="7"/>
  <cols>
    <col min="2" max="2" width="40.00390625" style="0" customWidth="1"/>
    <col min="3" max="3" width="17.28125" style="0" customWidth="1"/>
    <col min="4" max="4" width="19.00390625" style="0" customWidth="1"/>
    <col min="5" max="7" width="15.710937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8.75">
      <c r="A2" s="2" t="s">
        <v>1</v>
      </c>
      <c r="B2" s="2"/>
      <c r="C2" s="2"/>
      <c r="D2" s="2"/>
      <c r="E2" s="2"/>
      <c r="F2" s="2"/>
      <c r="G2" s="2"/>
    </row>
    <row r="4" spans="1:8" ht="14.4" customHeight="1">
      <c r="A4" s="200" t="s">
        <v>4</v>
      </c>
      <c r="B4" s="200"/>
      <c r="C4" s="200"/>
      <c r="D4" s="200"/>
      <c r="E4" s="200"/>
      <c r="F4" s="200"/>
      <c r="G4" s="200"/>
      <c r="H4" s="4"/>
    </row>
    <row r="5" spans="1:8" ht="31.95" customHeight="1">
      <c r="A5" s="32" t="s">
        <v>5</v>
      </c>
      <c r="B5" s="32"/>
      <c r="C5" s="32"/>
      <c r="D5" s="32"/>
      <c r="E5" s="32"/>
      <c r="F5" s="32"/>
      <c r="G5" s="32"/>
      <c r="H5" s="6"/>
    </row>
    <row r="6" ht="15.75"/>
    <row r="7" spans="1:7" ht="16.5">
      <c r="A7" s="407" t="s">
        <v>6</v>
      </c>
      <c r="B7" s="408" t="s">
        <v>7</v>
      </c>
      <c r="C7" s="408" t="s">
        <v>8</v>
      </c>
      <c r="D7" s="408" t="s">
        <v>9</v>
      </c>
      <c r="E7" s="408" t="s">
        <v>10</v>
      </c>
      <c r="F7" s="409" t="s">
        <v>11</v>
      </c>
      <c r="G7" s="410" t="s">
        <v>12</v>
      </c>
    </row>
    <row r="8" spans="1:7" ht="31.5">
      <c r="A8" s="411" t="s">
        <v>13</v>
      </c>
      <c r="B8" s="412" t="s">
        <v>14</v>
      </c>
      <c r="C8" s="413" t="s">
        <v>15</v>
      </c>
      <c r="D8" s="414" t="s">
        <v>16</v>
      </c>
      <c r="E8" s="414" t="s">
        <v>17</v>
      </c>
      <c r="F8" s="413">
        <v>1</v>
      </c>
      <c r="G8" s="415">
        <f>+F8*2</f>
        <v>2</v>
      </c>
    </row>
    <row r="9" spans="1:7" ht="31.5">
      <c r="A9" s="416"/>
      <c r="B9" s="417"/>
      <c r="C9" s="418" t="s">
        <v>18</v>
      </c>
      <c r="D9" s="419" t="s">
        <v>16</v>
      </c>
      <c r="E9" s="419" t="s">
        <v>17</v>
      </c>
      <c r="F9" s="418">
        <v>1</v>
      </c>
      <c r="G9" s="420">
        <f>+F9*2</f>
        <v>2</v>
      </c>
    </row>
    <row r="10" spans="1:7" ht="31.5">
      <c r="A10" s="416"/>
      <c r="B10" s="421" t="s">
        <v>19</v>
      </c>
      <c r="C10" s="422" t="s">
        <v>15</v>
      </c>
      <c r="D10" s="422" t="s">
        <v>16</v>
      </c>
      <c r="E10" s="422" t="s">
        <v>17</v>
      </c>
      <c r="F10" s="422">
        <v>1</v>
      </c>
      <c r="G10" s="423">
        <f aca="true" t="shared" si="0" ref="G10:G66">+F10*2</f>
        <v>2</v>
      </c>
    </row>
    <row r="11" spans="1:7" ht="31.5">
      <c r="A11" s="416"/>
      <c r="B11" s="417"/>
      <c r="C11" s="422" t="s">
        <v>18</v>
      </c>
      <c r="D11" s="418" t="s">
        <v>16</v>
      </c>
      <c r="E11" s="418" t="s">
        <v>17</v>
      </c>
      <c r="F11" s="418">
        <v>1</v>
      </c>
      <c r="G11" s="420">
        <f t="shared" si="0"/>
        <v>2</v>
      </c>
    </row>
    <row r="12" spans="1:7" ht="31.5">
      <c r="A12" s="416"/>
      <c r="B12" s="421" t="s">
        <v>20</v>
      </c>
      <c r="C12" s="422" t="s">
        <v>15</v>
      </c>
      <c r="D12" s="422" t="s">
        <v>21</v>
      </c>
      <c r="E12" s="422" t="s">
        <v>17</v>
      </c>
      <c r="F12" s="422">
        <v>2</v>
      </c>
      <c r="G12" s="423">
        <f t="shared" si="0"/>
        <v>4</v>
      </c>
    </row>
    <row r="13" spans="1:7" ht="31.5">
      <c r="A13" s="416"/>
      <c r="B13" s="417"/>
      <c r="C13" s="422" t="s">
        <v>18</v>
      </c>
      <c r="D13" s="422" t="s">
        <v>21</v>
      </c>
      <c r="E13" s="422" t="s">
        <v>17</v>
      </c>
      <c r="F13" s="422">
        <v>2</v>
      </c>
      <c r="G13" s="423">
        <f t="shared" si="0"/>
        <v>4</v>
      </c>
    </row>
    <row r="14" spans="1:7" ht="31.5">
      <c r="A14" s="416"/>
      <c r="B14" s="421" t="s">
        <v>22</v>
      </c>
      <c r="C14" s="422" t="s">
        <v>15</v>
      </c>
      <c r="D14" s="422" t="s">
        <v>21</v>
      </c>
      <c r="E14" s="422" t="s">
        <v>17</v>
      </c>
      <c r="F14" s="422">
        <v>1</v>
      </c>
      <c r="G14" s="423">
        <f t="shared" si="0"/>
        <v>2</v>
      </c>
    </row>
    <row r="15" spans="1:7" ht="31.5">
      <c r="A15" s="416"/>
      <c r="B15" s="417"/>
      <c r="C15" s="422" t="s">
        <v>18</v>
      </c>
      <c r="D15" s="422" t="s">
        <v>21</v>
      </c>
      <c r="E15" s="422" t="s">
        <v>17</v>
      </c>
      <c r="F15" s="422">
        <v>1</v>
      </c>
      <c r="G15" s="423">
        <f t="shared" si="0"/>
        <v>2</v>
      </c>
    </row>
    <row r="16" spans="1:7" ht="31.5">
      <c r="A16" s="416"/>
      <c r="B16" s="421" t="s">
        <v>23</v>
      </c>
      <c r="C16" s="422" t="s">
        <v>24</v>
      </c>
      <c r="D16" s="422" t="s">
        <v>21</v>
      </c>
      <c r="E16" s="422" t="s">
        <v>17</v>
      </c>
      <c r="F16" s="422">
        <v>2</v>
      </c>
      <c r="G16" s="423">
        <f t="shared" si="0"/>
        <v>4</v>
      </c>
    </row>
    <row r="17" spans="1:7" ht="31.5">
      <c r="A17" s="416"/>
      <c r="B17" s="424"/>
      <c r="C17" s="422" t="s">
        <v>25</v>
      </c>
      <c r="D17" s="422" t="s">
        <v>21</v>
      </c>
      <c r="E17" s="422" t="s">
        <v>17</v>
      </c>
      <c r="F17" s="422">
        <v>2</v>
      </c>
      <c r="G17" s="423">
        <f t="shared" si="0"/>
        <v>4</v>
      </c>
    </row>
    <row r="18" spans="1:7" ht="63" customHeight="1">
      <c r="A18" s="416"/>
      <c r="B18" s="425" t="s">
        <v>26</v>
      </c>
      <c r="C18" s="422" t="s">
        <v>18</v>
      </c>
      <c r="D18" s="422" t="s">
        <v>16</v>
      </c>
      <c r="E18" s="422" t="s">
        <v>17</v>
      </c>
      <c r="F18" s="422">
        <v>1</v>
      </c>
      <c r="G18" s="423">
        <f t="shared" si="0"/>
        <v>2</v>
      </c>
    </row>
    <row r="19" spans="1:7" ht="47.25">
      <c r="A19" s="416"/>
      <c r="B19" s="425" t="s">
        <v>27</v>
      </c>
      <c r="C19" s="422" t="s">
        <v>18</v>
      </c>
      <c r="D19" s="422" t="s">
        <v>16</v>
      </c>
      <c r="E19" s="422" t="s">
        <v>17</v>
      </c>
      <c r="F19" s="422">
        <v>1</v>
      </c>
      <c r="G19" s="423">
        <f t="shared" si="0"/>
        <v>2</v>
      </c>
    </row>
    <row r="20" spans="1:7" ht="31.5">
      <c r="A20" s="416"/>
      <c r="B20" s="421" t="s">
        <v>28</v>
      </c>
      <c r="C20" s="422" t="s">
        <v>15</v>
      </c>
      <c r="D20" s="422" t="s">
        <v>21</v>
      </c>
      <c r="E20" s="422" t="s">
        <v>17</v>
      </c>
      <c r="F20" s="422">
        <v>1</v>
      </c>
      <c r="G20" s="423">
        <f t="shared" si="0"/>
        <v>2</v>
      </c>
    </row>
    <row r="21" spans="1:7" ht="31.5">
      <c r="A21" s="416"/>
      <c r="B21" s="417"/>
      <c r="C21" s="422" t="s">
        <v>18</v>
      </c>
      <c r="D21" s="422" t="s">
        <v>21</v>
      </c>
      <c r="E21" s="422" t="s">
        <v>17</v>
      </c>
      <c r="F21" s="422">
        <v>1</v>
      </c>
      <c r="G21" s="423">
        <f t="shared" si="0"/>
        <v>2</v>
      </c>
    </row>
    <row r="22" spans="1:7" ht="31.5">
      <c r="A22" s="416"/>
      <c r="B22" s="421" t="s">
        <v>29</v>
      </c>
      <c r="C22" s="422" t="s">
        <v>15</v>
      </c>
      <c r="D22" s="422" t="s">
        <v>21</v>
      </c>
      <c r="E22" s="422" t="s">
        <v>17</v>
      </c>
      <c r="F22" s="422">
        <v>1</v>
      </c>
      <c r="G22" s="423">
        <f t="shared" si="0"/>
        <v>2</v>
      </c>
    </row>
    <row r="23" spans="1:7" ht="31.5">
      <c r="A23" s="416"/>
      <c r="B23" s="417"/>
      <c r="C23" s="422" t="s">
        <v>18</v>
      </c>
      <c r="D23" s="426" t="s">
        <v>21</v>
      </c>
      <c r="E23" s="426" t="s">
        <v>17</v>
      </c>
      <c r="F23" s="422">
        <v>1</v>
      </c>
      <c r="G23" s="423">
        <f t="shared" si="0"/>
        <v>2</v>
      </c>
    </row>
    <row r="24" spans="1:7" ht="31.5">
      <c r="A24" s="416"/>
      <c r="B24" s="421" t="s">
        <v>30</v>
      </c>
      <c r="C24" s="422" t="s">
        <v>15</v>
      </c>
      <c r="D24" s="422" t="s">
        <v>21</v>
      </c>
      <c r="E24" s="422" t="s">
        <v>17</v>
      </c>
      <c r="F24" s="422">
        <v>1</v>
      </c>
      <c r="G24" s="423">
        <f t="shared" si="0"/>
        <v>2</v>
      </c>
    </row>
    <row r="25" spans="1:7" ht="31.5">
      <c r="A25" s="416"/>
      <c r="B25" s="417"/>
      <c r="C25" s="422" t="s">
        <v>18</v>
      </c>
      <c r="D25" s="426" t="s">
        <v>21</v>
      </c>
      <c r="E25" s="426" t="s">
        <v>17</v>
      </c>
      <c r="F25" s="422">
        <v>1</v>
      </c>
      <c r="G25" s="423">
        <f t="shared" si="0"/>
        <v>2</v>
      </c>
    </row>
    <row r="26" spans="1:7" ht="31.5">
      <c r="A26" s="416"/>
      <c r="B26" s="421" t="s">
        <v>31</v>
      </c>
      <c r="C26" s="422" t="s">
        <v>15</v>
      </c>
      <c r="D26" s="422" t="s">
        <v>21</v>
      </c>
      <c r="E26" s="422" t="s">
        <v>17</v>
      </c>
      <c r="F26" s="422">
        <v>1</v>
      </c>
      <c r="G26" s="423">
        <f t="shared" si="0"/>
        <v>2</v>
      </c>
    </row>
    <row r="27" spans="1:7" ht="31.5">
      <c r="A27" s="416"/>
      <c r="B27" s="417"/>
      <c r="C27" s="422" t="s">
        <v>18</v>
      </c>
      <c r="D27" s="426" t="s">
        <v>21</v>
      </c>
      <c r="E27" s="426" t="s">
        <v>17</v>
      </c>
      <c r="F27" s="422">
        <v>1</v>
      </c>
      <c r="G27" s="423">
        <f t="shared" si="0"/>
        <v>2</v>
      </c>
    </row>
    <row r="28" spans="1:7" ht="31.5">
      <c r="A28" s="416"/>
      <c r="B28" s="421" t="s">
        <v>32</v>
      </c>
      <c r="C28" s="422" t="s">
        <v>15</v>
      </c>
      <c r="D28" s="422" t="s">
        <v>16</v>
      </c>
      <c r="E28" s="422" t="s">
        <v>17</v>
      </c>
      <c r="F28" s="422">
        <v>1</v>
      </c>
      <c r="G28" s="423">
        <f t="shared" si="0"/>
        <v>2</v>
      </c>
    </row>
    <row r="29" spans="1:7" ht="31.5">
      <c r="A29" s="416"/>
      <c r="B29" s="417"/>
      <c r="C29" s="422" t="s">
        <v>18</v>
      </c>
      <c r="D29" s="426" t="s">
        <v>16</v>
      </c>
      <c r="E29" s="426" t="s">
        <v>17</v>
      </c>
      <c r="F29" s="422">
        <v>1</v>
      </c>
      <c r="G29" s="423">
        <f t="shared" si="0"/>
        <v>2</v>
      </c>
    </row>
    <row r="30" spans="1:7" ht="31.5">
      <c r="A30" s="416"/>
      <c r="B30" s="421" t="s">
        <v>33</v>
      </c>
      <c r="C30" s="422" t="s">
        <v>15</v>
      </c>
      <c r="D30" s="422" t="s">
        <v>21</v>
      </c>
      <c r="E30" s="422" t="s">
        <v>17</v>
      </c>
      <c r="F30" s="422">
        <v>2</v>
      </c>
      <c r="G30" s="423">
        <f t="shared" si="0"/>
        <v>4</v>
      </c>
    </row>
    <row r="31" spans="1:7" ht="31.5">
      <c r="A31" s="416"/>
      <c r="B31" s="417"/>
      <c r="C31" s="422" t="s">
        <v>18</v>
      </c>
      <c r="D31" s="422" t="s">
        <v>21</v>
      </c>
      <c r="E31" s="422" t="s">
        <v>17</v>
      </c>
      <c r="F31" s="422">
        <v>2</v>
      </c>
      <c r="G31" s="423">
        <f t="shared" si="0"/>
        <v>4</v>
      </c>
    </row>
    <row r="32" spans="1:7" ht="31.5">
      <c r="A32" s="416"/>
      <c r="B32" s="421" t="s">
        <v>34</v>
      </c>
      <c r="C32" s="422" t="s">
        <v>15</v>
      </c>
      <c r="D32" s="422" t="s">
        <v>16</v>
      </c>
      <c r="E32" s="422" t="s">
        <v>17</v>
      </c>
      <c r="F32" s="422">
        <v>1</v>
      </c>
      <c r="G32" s="423">
        <f t="shared" si="0"/>
        <v>2</v>
      </c>
    </row>
    <row r="33" spans="1:7" ht="31.5">
      <c r="A33" s="416"/>
      <c r="B33" s="417"/>
      <c r="C33" s="422" t="s">
        <v>18</v>
      </c>
      <c r="D33" s="426" t="s">
        <v>16</v>
      </c>
      <c r="E33" s="426" t="s">
        <v>17</v>
      </c>
      <c r="F33" s="422">
        <v>1</v>
      </c>
      <c r="G33" s="423">
        <f t="shared" si="0"/>
        <v>2</v>
      </c>
    </row>
    <row r="34" spans="1:7" ht="31.5">
      <c r="A34" s="416"/>
      <c r="B34" s="421" t="s">
        <v>35</v>
      </c>
      <c r="C34" s="422" t="s">
        <v>15</v>
      </c>
      <c r="D34" s="422" t="s">
        <v>21</v>
      </c>
      <c r="E34" s="422" t="s">
        <v>17</v>
      </c>
      <c r="F34" s="422">
        <v>2</v>
      </c>
      <c r="G34" s="423">
        <f t="shared" si="0"/>
        <v>4</v>
      </c>
    </row>
    <row r="35" spans="1:7" ht="31.5">
      <c r="A35" s="416"/>
      <c r="B35" s="427"/>
      <c r="C35" s="428" t="s">
        <v>18</v>
      </c>
      <c r="D35" s="428" t="s">
        <v>21</v>
      </c>
      <c r="E35" s="428" t="s">
        <v>17</v>
      </c>
      <c r="F35" s="428">
        <v>2</v>
      </c>
      <c r="G35" s="429">
        <f t="shared" si="0"/>
        <v>4</v>
      </c>
    </row>
    <row r="36" spans="1:7" ht="16.5">
      <c r="A36" s="430"/>
      <c r="B36" s="431" t="s">
        <v>36</v>
      </c>
      <c r="C36" s="432" t="s">
        <v>37</v>
      </c>
      <c r="D36" s="432" t="s">
        <v>16</v>
      </c>
      <c r="E36" s="432" t="s">
        <v>38</v>
      </c>
      <c r="F36" s="432">
        <v>1</v>
      </c>
      <c r="G36" s="433">
        <v>1</v>
      </c>
    </row>
    <row r="37" spans="1:7" ht="51.75">
      <c r="A37" s="434" t="s">
        <v>39</v>
      </c>
      <c r="B37" s="435" t="s">
        <v>40</v>
      </c>
      <c r="C37" s="436" t="s">
        <v>41</v>
      </c>
      <c r="D37" s="436" t="s">
        <v>21</v>
      </c>
      <c r="E37" s="436" t="s">
        <v>17</v>
      </c>
      <c r="F37" s="437">
        <v>1</v>
      </c>
      <c r="G37" s="438">
        <f t="shared" si="0"/>
        <v>2</v>
      </c>
    </row>
    <row r="38" spans="1:7" ht="51.75">
      <c r="A38" s="439"/>
      <c r="B38" s="440"/>
      <c r="C38" s="441" t="s">
        <v>42</v>
      </c>
      <c r="D38" s="442" t="s">
        <v>21</v>
      </c>
      <c r="E38" s="442" t="s">
        <v>17</v>
      </c>
      <c r="F38" s="422">
        <v>1</v>
      </c>
      <c r="G38" s="423">
        <f t="shared" si="0"/>
        <v>2</v>
      </c>
    </row>
    <row r="39" spans="1:7" ht="34.5">
      <c r="A39" s="439"/>
      <c r="B39" s="440"/>
      <c r="C39" s="441" t="s">
        <v>24</v>
      </c>
      <c r="D39" s="441" t="s">
        <v>21</v>
      </c>
      <c r="E39" s="441" t="s">
        <v>17</v>
      </c>
      <c r="F39" s="422">
        <v>2</v>
      </c>
      <c r="G39" s="423">
        <f t="shared" si="0"/>
        <v>4</v>
      </c>
    </row>
    <row r="40" spans="1:7" ht="51.75">
      <c r="A40" s="439"/>
      <c r="B40" s="443"/>
      <c r="C40" s="441" t="s">
        <v>25</v>
      </c>
      <c r="D40" s="441" t="s">
        <v>21</v>
      </c>
      <c r="E40" s="441" t="s">
        <v>17</v>
      </c>
      <c r="F40" s="422">
        <v>2</v>
      </c>
      <c r="G40" s="423">
        <f t="shared" si="0"/>
        <v>4</v>
      </c>
    </row>
    <row r="41" spans="1:7" ht="51.75">
      <c r="A41" s="439"/>
      <c r="B41" s="444" t="s">
        <v>43</v>
      </c>
      <c r="C41" s="441" t="s">
        <v>44</v>
      </c>
      <c r="D41" s="442" t="s">
        <v>16</v>
      </c>
      <c r="E41" s="442" t="s">
        <v>17</v>
      </c>
      <c r="F41" s="422">
        <v>1</v>
      </c>
      <c r="G41" s="423">
        <f t="shared" si="0"/>
        <v>2</v>
      </c>
    </row>
    <row r="42" spans="1:7" ht="34.5">
      <c r="A42" s="439"/>
      <c r="B42" s="440"/>
      <c r="C42" s="441" t="s">
        <v>24</v>
      </c>
      <c r="D42" s="441" t="s">
        <v>21</v>
      </c>
      <c r="E42" s="441" t="s">
        <v>17</v>
      </c>
      <c r="F42" s="422">
        <v>2</v>
      </c>
      <c r="G42" s="423">
        <f t="shared" si="0"/>
        <v>4</v>
      </c>
    </row>
    <row r="43" spans="1:7" ht="51.75">
      <c r="A43" s="439"/>
      <c r="B43" s="443"/>
      <c r="C43" s="441" t="s">
        <v>25</v>
      </c>
      <c r="D43" s="441" t="s">
        <v>21</v>
      </c>
      <c r="E43" s="441" t="s">
        <v>17</v>
      </c>
      <c r="F43" s="422">
        <v>2</v>
      </c>
      <c r="G43" s="423">
        <f t="shared" si="0"/>
        <v>4</v>
      </c>
    </row>
    <row r="44" spans="1:7" ht="51.75">
      <c r="A44" s="439"/>
      <c r="B44" s="444" t="s">
        <v>45</v>
      </c>
      <c r="C44" s="441" t="s">
        <v>46</v>
      </c>
      <c r="D44" s="445" t="s">
        <v>21</v>
      </c>
      <c r="E44" s="445" t="s">
        <v>17</v>
      </c>
      <c r="F44" s="418">
        <v>1</v>
      </c>
      <c r="G44" s="420">
        <f t="shared" si="0"/>
        <v>2</v>
      </c>
    </row>
    <row r="45" spans="1:7" ht="51.75">
      <c r="A45" s="439"/>
      <c r="B45" s="440"/>
      <c r="C45" s="441" t="s">
        <v>47</v>
      </c>
      <c r="D45" s="442" t="s">
        <v>21</v>
      </c>
      <c r="E45" s="442" t="s">
        <v>17</v>
      </c>
      <c r="F45" s="422">
        <v>1</v>
      </c>
      <c r="G45" s="423">
        <f t="shared" si="0"/>
        <v>2</v>
      </c>
    </row>
    <row r="46" spans="1:7" ht="69">
      <c r="A46" s="439"/>
      <c r="B46" s="440"/>
      <c r="C46" s="441" t="s">
        <v>48</v>
      </c>
      <c r="D46" s="442" t="s">
        <v>21</v>
      </c>
      <c r="E46" s="442" t="s">
        <v>17</v>
      </c>
      <c r="F46" s="422">
        <v>1</v>
      </c>
      <c r="G46" s="423">
        <f t="shared" si="0"/>
        <v>2</v>
      </c>
    </row>
    <row r="47" spans="1:7" ht="34.5">
      <c r="A47" s="439"/>
      <c r="B47" s="440"/>
      <c r="C47" s="441" t="s">
        <v>24</v>
      </c>
      <c r="D47" s="441" t="s">
        <v>21</v>
      </c>
      <c r="E47" s="441" t="s">
        <v>17</v>
      </c>
      <c r="F47" s="422">
        <v>2</v>
      </c>
      <c r="G47" s="423">
        <f t="shared" si="0"/>
        <v>4</v>
      </c>
    </row>
    <row r="48" spans="1:7" ht="51.75">
      <c r="A48" s="439"/>
      <c r="B48" s="443"/>
      <c r="C48" s="441" t="s">
        <v>25</v>
      </c>
      <c r="D48" s="441" t="s">
        <v>21</v>
      </c>
      <c r="E48" s="441" t="s">
        <v>17</v>
      </c>
      <c r="F48" s="422">
        <v>2</v>
      </c>
      <c r="G48" s="423">
        <f t="shared" si="0"/>
        <v>4</v>
      </c>
    </row>
    <row r="49" spans="1:7" ht="34.5">
      <c r="A49" s="439"/>
      <c r="B49" s="444" t="s">
        <v>49</v>
      </c>
      <c r="C49" s="441" t="s">
        <v>15</v>
      </c>
      <c r="D49" s="441" t="s">
        <v>21</v>
      </c>
      <c r="E49" s="441" t="s">
        <v>17</v>
      </c>
      <c r="F49" s="422">
        <v>1</v>
      </c>
      <c r="G49" s="423">
        <f t="shared" si="0"/>
        <v>2</v>
      </c>
    </row>
    <row r="50" spans="1:7" ht="34.5">
      <c r="A50" s="439"/>
      <c r="B50" s="443"/>
      <c r="C50" s="441" t="s">
        <v>18</v>
      </c>
      <c r="D50" s="441" t="s">
        <v>21</v>
      </c>
      <c r="E50" s="441" t="s">
        <v>17</v>
      </c>
      <c r="F50" s="422">
        <v>1</v>
      </c>
      <c r="G50" s="423">
        <f t="shared" si="0"/>
        <v>2</v>
      </c>
    </row>
    <row r="51" spans="1:7" ht="34.5">
      <c r="A51" s="439"/>
      <c r="B51" s="444" t="s">
        <v>50</v>
      </c>
      <c r="C51" s="441" t="s">
        <v>15</v>
      </c>
      <c r="D51" s="441" t="s">
        <v>21</v>
      </c>
      <c r="E51" s="441" t="s">
        <v>17</v>
      </c>
      <c r="F51" s="422">
        <v>1</v>
      </c>
      <c r="G51" s="423">
        <f t="shared" si="0"/>
        <v>2</v>
      </c>
    </row>
    <row r="52" spans="1:7" ht="34.5">
      <c r="A52" s="439"/>
      <c r="B52" s="443"/>
      <c r="C52" s="441" t="s">
        <v>18</v>
      </c>
      <c r="D52" s="441" t="s">
        <v>21</v>
      </c>
      <c r="E52" s="441" t="s">
        <v>17</v>
      </c>
      <c r="F52" s="422">
        <v>1</v>
      </c>
      <c r="G52" s="423">
        <f t="shared" si="0"/>
        <v>2</v>
      </c>
    </row>
    <row r="53" spans="1:7" ht="34.5">
      <c r="A53" s="439"/>
      <c r="B53" s="444" t="s">
        <v>51</v>
      </c>
      <c r="C53" s="441" t="s">
        <v>15</v>
      </c>
      <c r="D53" s="441" t="s">
        <v>21</v>
      </c>
      <c r="E53" s="441" t="s">
        <v>17</v>
      </c>
      <c r="F53" s="422">
        <v>1</v>
      </c>
      <c r="G53" s="423">
        <f t="shared" si="0"/>
        <v>2</v>
      </c>
    </row>
    <row r="54" spans="1:7" ht="34.5">
      <c r="A54" s="439"/>
      <c r="B54" s="443"/>
      <c r="C54" s="441" t="s">
        <v>18</v>
      </c>
      <c r="D54" s="441" t="s">
        <v>21</v>
      </c>
      <c r="E54" s="441" t="s">
        <v>17</v>
      </c>
      <c r="F54" s="422">
        <v>1</v>
      </c>
      <c r="G54" s="423">
        <f t="shared" si="0"/>
        <v>2</v>
      </c>
    </row>
    <row r="55" spans="1:7" ht="51.75">
      <c r="A55" s="439"/>
      <c r="B55" s="443" t="s">
        <v>52</v>
      </c>
      <c r="C55" s="443" t="s">
        <v>18</v>
      </c>
      <c r="D55" s="443" t="s">
        <v>16</v>
      </c>
      <c r="E55" s="443" t="s">
        <v>17</v>
      </c>
      <c r="F55" s="422">
        <v>1</v>
      </c>
      <c r="G55" s="423">
        <f t="shared" si="0"/>
        <v>2</v>
      </c>
    </row>
    <row r="56" spans="1:7" ht="34.5">
      <c r="A56" s="439"/>
      <c r="B56" s="444" t="s">
        <v>53</v>
      </c>
      <c r="C56" s="441" t="s">
        <v>15</v>
      </c>
      <c r="D56" s="441" t="s">
        <v>16</v>
      </c>
      <c r="E56" s="441" t="s">
        <v>17</v>
      </c>
      <c r="F56" s="422">
        <v>1</v>
      </c>
      <c r="G56" s="423">
        <f t="shared" si="0"/>
        <v>2</v>
      </c>
    </row>
    <row r="57" spans="1:7" ht="34.5">
      <c r="A57" s="439"/>
      <c r="B57" s="443"/>
      <c r="C57" s="443" t="s">
        <v>18</v>
      </c>
      <c r="D57" s="443" t="s">
        <v>16</v>
      </c>
      <c r="E57" s="443" t="s">
        <v>17</v>
      </c>
      <c r="F57" s="422">
        <v>1</v>
      </c>
      <c r="G57" s="423">
        <f t="shared" si="0"/>
        <v>2</v>
      </c>
    </row>
    <row r="58" spans="1:7" ht="51.75">
      <c r="A58" s="439"/>
      <c r="B58" s="443" t="s">
        <v>54</v>
      </c>
      <c r="C58" s="443" t="s">
        <v>18</v>
      </c>
      <c r="D58" s="443" t="s">
        <v>16</v>
      </c>
      <c r="E58" s="443" t="s">
        <v>17</v>
      </c>
      <c r="F58" s="422">
        <v>1</v>
      </c>
      <c r="G58" s="423">
        <f t="shared" si="0"/>
        <v>2</v>
      </c>
    </row>
    <row r="59" spans="1:7" ht="51.75">
      <c r="A59" s="439"/>
      <c r="B59" s="443" t="s">
        <v>55</v>
      </c>
      <c r="C59" s="443" t="s">
        <v>18</v>
      </c>
      <c r="D59" s="443" t="s">
        <v>16</v>
      </c>
      <c r="E59" s="443" t="s">
        <v>17</v>
      </c>
      <c r="F59" s="422">
        <v>1</v>
      </c>
      <c r="G59" s="423">
        <f t="shared" si="0"/>
        <v>2</v>
      </c>
    </row>
    <row r="60" spans="1:7" ht="96.75" customHeight="1">
      <c r="A60" s="439"/>
      <c r="B60" s="443" t="s">
        <v>56</v>
      </c>
      <c r="C60" s="443" t="s">
        <v>18</v>
      </c>
      <c r="D60" s="443" t="s">
        <v>16</v>
      </c>
      <c r="E60" s="443" t="s">
        <v>17</v>
      </c>
      <c r="F60" s="422">
        <v>1</v>
      </c>
      <c r="G60" s="423">
        <f aca="true" t="shared" si="1" ref="G60:G61">+F60*2</f>
        <v>2</v>
      </c>
    </row>
    <row r="61" spans="1:7" ht="96.75" customHeight="1">
      <c r="A61" s="439"/>
      <c r="B61" s="443" t="s">
        <v>57</v>
      </c>
      <c r="C61" s="443" t="s">
        <v>18</v>
      </c>
      <c r="D61" s="443" t="s">
        <v>16</v>
      </c>
      <c r="E61" s="443" t="s">
        <v>17</v>
      </c>
      <c r="F61" s="422">
        <v>1</v>
      </c>
      <c r="G61" s="423">
        <f t="shared" si="1"/>
        <v>2</v>
      </c>
    </row>
    <row r="62" spans="1:7" ht="51.75">
      <c r="A62" s="439"/>
      <c r="B62" s="443" t="s">
        <v>58</v>
      </c>
      <c r="C62" s="443" t="s">
        <v>18</v>
      </c>
      <c r="D62" s="443" t="s">
        <v>16</v>
      </c>
      <c r="E62" s="443" t="s">
        <v>17</v>
      </c>
      <c r="F62" s="422">
        <v>1</v>
      </c>
      <c r="G62" s="423">
        <f t="shared" si="0"/>
        <v>2</v>
      </c>
    </row>
    <row r="63" spans="1:7" ht="34.5">
      <c r="A63" s="439"/>
      <c r="B63" s="446" t="s">
        <v>59</v>
      </c>
      <c r="C63" s="447" t="s">
        <v>15</v>
      </c>
      <c r="D63" s="448" t="s">
        <v>21</v>
      </c>
      <c r="E63" s="447" t="s">
        <v>17</v>
      </c>
      <c r="F63" s="428">
        <v>1</v>
      </c>
      <c r="G63" s="429">
        <f t="shared" si="0"/>
        <v>2</v>
      </c>
    </row>
    <row r="64" spans="1:7" ht="34.5">
      <c r="A64" s="439"/>
      <c r="B64" s="449"/>
      <c r="C64" s="450" t="s">
        <v>18</v>
      </c>
      <c r="D64" s="451" t="s">
        <v>21</v>
      </c>
      <c r="E64" s="450" t="s">
        <v>17</v>
      </c>
      <c r="F64" s="452">
        <v>1</v>
      </c>
      <c r="G64" s="453">
        <f t="shared" si="0"/>
        <v>2</v>
      </c>
    </row>
    <row r="65" spans="1:7" ht="34.5">
      <c r="A65" s="439"/>
      <c r="B65" s="454" t="s">
        <v>60</v>
      </c>
      <c r="C65" s="455" t="s">
        <v>61</v>
      </c>
      <c r="D65" s="455" t="s">
        <v>16</v>
      </c>
      <c r="E65" s="455" t="s">
        <v>17</v>
      </c>
      <c r="F65" s="456">
        <v>1</v>
      </c>
      <c r="G65" s="457">
        <f t="shared" si="0"/>
        <v>2</v>
      </c>
    </row>
    <row r="66" spans="1:7" ht="35.25">
      <c r="A66" s="458"/>
      <c r="B66" s="459"/>
      <c r="C66" s="460" t="s">
        <v>62</v>
      </c>
      <c r="D66" s="460" t="s">
        <v>16</v>
      </c>
      <c r="E66" s="460" t="s">
        <v>17</v>
      </c>
      <c r="F66" s="461">
        <v>1</v>
      </c>
      <c r="G66" s="462">
        <f t="shared" si="0"/>
        <v>2</v>
      </c>
    </row>
    <row r="67" spans="1:7" ht="18">
      <c r="A67" s="463"/>
      <c r="B67" s="464"/>
      <c r="C67" s="464"/>
      <c r="D67" s="464"/>
      <c r="E67" s="464"/>
      <c r="F67" s="464"/>
      <c r="G67" s="465"/>
    </row>
    <row r="68" spans="1:7" ht="18">
      <c r="A68" s="466" t="s">
        <v>63</v>
      </c>
      <c r="B68" s="467"/>
      <c r="C68" s="467"/>
      <c r="D68" s="467"/>
      <c r="E68" s="468"/>
      <c r="F68" s="469">
        <f>SUBTOTAL(9,F8:F66)</f>
        <v>73</v>
      </c>
      <c r="G68" s="470">
        <f>SUBTOTAL(9,G8:G66)</f>
        <v>145</v>
      </c>
    </row>
    <row r="71" spans="1:7" ht="20.25" customHeight="1">
      <c r="A71" s="471" t="s">
        <v>64</v>
      </c>
      <c r="B71" s="471"/>
      <c r="C71" s="471"/>
      <c r="D71" s="471"/>
      <c r="E71" s="471"/>
      <c r="F71" s="471"/>
      <c r="G71" s="471"/>
    </row>
    <row r="72" spans="1:7" ht="30">
      <c r="A72" s="8" t="s">
        <v>65</v>
      </c>
      <c r="B72" s="8" t="s">
        <v>66</v>
      </c>
      <c r="C72" s="8" t="s">
        <v>11</v>
      </c>
      <c r="D72" s="8" t="s">
        <v>67</v>
      </c>
      <c r="E72" s="8" t="s">
        <v>68</v>
      </c>
      <c r="F72" s="8" t="s">
        <v>69</v>
      </c>
      <c r="G72" s="8" t="s">
        <v>70</v>
      </c>
    </row>
    <row r="73" spans="1:7" ht="15">
      <c r="A73" s="9">
        <v>1</v>
      </c>
      <c r="B73" s="10" t="s">
        <v>71</v>
      </c>
      <c r="C73" s="9">
        <v>22</v>
      </c>
      <c r="D73" s="9">
        <v>44</v>
      </c>
      <c r="E73" s="472">
        <v>0</v>
      </c>
      <c r="F73" s="11">
        <f>E73*C73</f>
        <v>0</v>
      </c>
      <c r="G73" s="11">
        <f aca="true" t="shared" si="2" ref="G73:G74">12*F73</f>
        <v>0</v>
      </c>
    </row>
    <row r="74" spans="1:7" ht="15">
      <c r="A74" s="9">
        <v>2</v>
      </c>
      <c r="B74" s="10" t="s">
        <v>72</v>
      </c>
      <c r="C74" s="9">
        <v>32</v>
      </c>
      <c r="D74" s="9">
        <v>64</v>
      </c>
      <c r="E74" s="472">
        <v>0</v>
      </c>
      <c r="F74" s="11">
        <f>E74*C74</f>
        <v>0</v>
      </c>
      <c r="G74" s="11">
        <f t="shared" si="2"/>
        <v>0</v>
      </c>
    </row>
    <row r="75" spans="1:7" ht="15">
      <c r="A75" s="9">
        <v>3</v>
      </c>
      <c r="B75" s="12" t="s">
        <v>73</v>
      </c>
      <c r="C75" s="13" t="s">
        <v>74</v>
      </c>
      <c r="D75" s="14"/>
      <c r="E75" s="14"/>
      <c r="F75" s="14"/>
      <c r="G75" s="15"/>
    </row>
    <row r="76" spans="1:7" ht="15">
      <c r="A76" s="9">
        <v>4</v>
      </c>
      <c r="B76" s="12" t="s">
        <v>75</v>
      </c>
      <c r="C76" s="13" t="s">
        <v>74</v>
      </c>
      <c r="D76" s="14"/>
      <c r="E76" s="14"/>
      <c r="F76" s="14"/>
      <c r="G76" s="15"/>
    </row>
    <row r="77" spans="1:7" ht="15">
      <c r="A77" s="9">
        <v>5</v>
      </c>
      <c r="B77" s="10" t="s">
        <v>76</v>
      </c>
      <c r="C77" s="9">
        <v>8</v>
      </c>
      <c r="D77" s="9">
        <f aca="true" t="shared" si="3" ref="D77:D80">+C77*2</f>
        <v>16</v>
      </c>
      <c r="E77" s="472">
        <v>0</v>
      </c>
      <c r="F77" s="11">
        <f>E77*C77</f>
        <v>0</v>
      </c>
      <c r="G77" s="11">
        <f aca="true" t="shared" si="4" ref="G77:G82">12*F77</f>
        <v>0</v>
      </c>
    </row>
    <row r="78" spans="1:7" ht="15">
      <c r="A78" s="9">
        <v>6</v>
      </c>
      <c r="B78" s="10" t="s">
        <v>77</v>
      </c>
      <c r="C78" s="9">
        <v>8</v>
      </c>
      <c r="D78" s="9">
        <f t="shared" si="3"/>
        <v>16</v>
      </c>
      <c r="E78" s="472">
        <v>0</v>
      </c>
      <c r="F78" s="11">
        <f>E78*C78</f>
        <v>0</v>
      </c>
      <c r="G78" s="11">
        <f t="shared" si="4"/>
        <v>0</v>
      </c>
    </row>
    <row r="79" spans="1:7" ht="15">
      <c r="A79" s="9">
        <v>7</v>
      </c>
      <c r="B79" s="10" t="s">
        <v>78</v>
      </c>
      <c r="C79" s="9">
        <v>1</v>
      </c>
      <c r="D79" s="9">
        <f t="shared" si="3"/>
        <v>2</v>
      </c>
      <c r="E79" s="472">
        <v>0</v>
      </c>
      <c r="F79" s="11">
        <f>E79*C79</f>
        <v>0</v>
      </c>
      <c r="G79" s="11">
        <f t="shared" si="4"/>
        <v>0</v>
      </c>
    </row>
    <row r="80" spans="1:7" ht="15">
      <c r="A80" s="9">
        <v>8</v>
      </c>
      <c r="B80" s="10" t="s">
        <v>79</v>
      </c>
      <c r="C80" s="9">
        <v>1</v>
      </c>
      <c r="D80" s="9">
        <f t="shared" si="3"/>
        <v>2</v>
      </c>
      <c r="E80" s="472">
        <v>0</v>
      </c>
      <c r="F80" s="11">
        <f>E80*C80</f>
        <v>0</v>
      </c>
      <c r="G80" s="11">
        <f t="shared" si="4"/>
        <v>0</v>
      </c>
    </row>
    <row r="81" spans="1:7" ht="15">
      <c r="A81" s="9">
        <v>9</v>
      </c>
      <c r="B81" s="10" t="s">
        <v>80</v>
      </c>
      <c r="C81" s="9">
        <v>1</v>
      </c>
      <c r="D81" s="9">
        <v>1</v>
      </c>
      <c r="E81" s="472">
        <v>0</v>
      </c>
      <c r="F81" s="11">
        <f>E81*C81</f>
        <v>0</v>
      </c>
      <c r="G81" s="11">
        <f t="shared" si="4"/>
        <v>0</v>
      </c>
    </row>
    <row r="82" spans="1:7" ht="15">
      <c r="A82" s="16" t="s">
        <v>81</v>
      </c>
      <c r="B82" s="17"/>
      <c r="C82" s="8">
        <f>SUM(C73:C81)</f>
        <v>73</v>
      </c>
      <c r="D82" s="8">
        <f>SUM(D73:D81)</f>
        <v>145</v>
      </c>
      <c r="E82" s="18"/>
      <c r="F82" s="18">
        <f>SUM(F73:F80)</f>
        <v>0</v>
      </c>
      <c r="G82" s="18">
        <f t="shared" si="4"/>
        <v>0</v>
      </c>
    </row>
    <row r="83" ht="3" customHeight="1"/>
    <row r="84" spans="1:7" ht="15">
      <c r="A84" s="19">
        <v>10</v>
      </c>
      <c r="B84" s="473" t="s">
        <v>82</v>
      </c>
      <c r="C84" s="21">
        <v>30</v>
      </c>
      <c r="D84" s="21">
        <v>30</v>
      </c>
      <c r="E84" s="22"/>
      <c r="F84" s="22">
        <f>E84*C84</f>
        <v>0</v>
      </c>
      <c r="G84" s="22">
        <f aca="true" t="shared" si="5" ref="G84">12*F84</f>
        <v>0</v>
      </c>
    </row>
    <row r="85" ht="3" customHeight="1"/>
    <row r="86" spans="1:7" ht="15">
      <c r="A86" s="24" t="s">
        <v>83</v>
      </c>
      <c r="B86" s="25"/>
      <c r="C86" s="26">
        <v>30</v>
      </c>
      <c r="D86" s="26">
        <v>30</v>
      </c>
      <c r="E86" s="27"/>
      <c r="F86" s="27">
        <f>+F84+F82</f>
        <v>0</v>
      </c>
      <c r="G86" s="27">
        <f>+G84+G82</f>
        <v>0</v>
      </c>
    </row>
  </sheetData>
  <mergeCells count="34">
    <mergeCell ref="A1:G1"/>
    <mergeCell ref="A2:G2"/>
    <mergeCell ref="A4:G4"/>
    <mergeCell ref="A5:G5"/>
    <mergeCell ref="A68:E68"/>
    <mergeCell ref="A71:G71"/>
    <mergeCell ref="C75:G75"/>
    <mergeCell ref="C76:G76"/>
    <mergeCell ref="A82:B82"/>
    <mergeCell ref="A86:B86"/>
    <mergeCell ref="A8:A36"/>
    <mergeCell ref="A37:A66"/>
    <mergeCell ref="B8:B9"/>
    <mergeCell ref="B10:B11"/>
    <mergeCell ref="B12:B13"/>
    <mergeCell ref="B14:B15"/>
    <mergeCell ref="B16:B17"/>
    <mergeCell ref="B20:B21"/>
    <mergeCell ref="B22:B23"/>
    <mergeCell ref="B24:B25"/>
    <mergeCell ref="B26:B27"/>
    <mergeCell ref="B28:B29"/>
    <mergeCell ref="B30:B31"/>
    <mergeCell ref="B32:B33"/>
    <mergeCell ref="B34:B35"/>
    <mergeCell ref="B37:B40"/>
    <mergeCell ref="B41:B43"/>
    <mergeCell ref="B44:B48"/>
    <mergeCell ref="B49:B50"/>
    <mergeCell ref="B51:B52"/>
    <mergeCell ref="B53:B54"/>
    <mergeCell ref="B56:B57"/>
    <mergeCell ref="B63:B64"/>
    <mergeCell ref="B65:B66"/>
  </mergeCells>
  <printOptions/>
  <pageMargins left="0.511811024" right="0.511811024" top="0.787401575" bottom="0.787401575" header="0.31496062" footer="0.31496062"/>
  <pageSetup horizontalDpi="600" verticalDpi="600" orientation="portrait" paperSize="9" scale="69"/>
  <headerFooter>
    <oddHeader>&amp;L&amp;G&amp;CProcesso 23069.167552/2021-41
PE 88/2021&amp;R&amp;G</oddHeader>
  </headerFooter>
  <rowBreaks count="3" manualBreakCount="3">
    <brk id="29" max="16383" man="1"/>
    <brk id="40" max="16383" man="1"/>
    <brk id="48" max="16383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69"/>
  <sheetViews>
    <sheetView workbookViewId="0" topLeftCell="A5">
      <selection activeCell="A5" sqref="A5:F5"/>
    </sheetView>
  </sheetViews>
  <sheetFormatPr defaultColWidth="9.00390625" defaultRowHeight="15" outlineLevelCol="7"/>
  <cols>
    <col min="2" max="2" width="35.28125" style="0" customWidth="1"/>
    <col min="3" max="3" width="16.28125" style="0" customWidth="1"/>
    <col min="4" max="4" width="10.421875" style="0" customWidth="1"/>
    <col min="5" max="5" width="12.8515625" style="0" customWidth="1"/>
    <col min="6" max="6" width="14.00390625" style="0" customWidth="1"/>
    <col min="7" max="7" width="10.8515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28"/>
    </row>
    <row r="2" spans="1:7" ht="18.75">
      <c r="A2" s="2" t="s">
        <v>1</v>
      </c>
      <c r="B2" s="2"/>
      <c r="C2" s="2"/>
      <c r="D2" s="2"/>
      <c r="E2" s="2"/>
      <c r="F2" s="2"/>
      <c r="G2" s="29"/>
    </row>
    <row r="4" spans="1:8" ht="14.4" customHeight="1">
      <c r="A4" s="30" t="s">
        <v>84</v>
      </c>
      <c r="B4" s="30"/>
      <c r="C4" s="30"/>
      <c r="D4" s="30"/>
      <c r="E4" s="30"/>
      <c r="F4" s="30"/>
      <c r="G4" s="199"/>
      <c r="H4" s="4"/>
    </row>
    <row r="5" spans="1:8" ht="38.4" customHeight="1">
      <c r="A5" s="32" t="s">
        <v>5</v>
      </c>
      <c r="B5" s="32"/>
      <c r="C5" s="32"/>
      <c r="D5" s="32"/>
      <c r="E5" s="32"/>
      <c r="F5" s="32"/>
      <c r="G5" s="33"/>
      <c r="H5" s="6"/>
    </row>
    <row r="7" spans="1:6" ht="39" customHeight="1">
      <c r="A7" s="354" t="s">
        <v>85</v>
      </c>
      <c r="B7" s="355"/>
      <c r="C7" s="355"/>
      <c r="D7" s="355"/>
      <c r="E7" s="355"/>
      <c r="F7" s="355"/>
    </row>
    <row r="8" ht="15.75"/>
    <row r="9" spans="1:6" ht="15">
      <c r="A9" s="356" t="s">
        <v>65</v>
      </c>
      <c r="B9" s="357" t="s">
        <v>86</v>
      </c>
      <c r="C9" s="358" t="s">
        <v>87</v>
      </c>
      <c r="D9" s="358" t="s">
        <v>88</v>
      </c>
      <c r="E9" s="359" t="s">
        <v>89</v>
      </c>
      <c r="F9" s="281"/>
    </row>
    <row r="10" spans="1:6" ht="15">
      <c r="A10" s="286"/>
      <c r="B10" s="287"/>
      <c r="C10" s="287"/>
      <c r="D10" s="287"/>
      <c r="E10" s="360" t="s">
        <v>90</v>
      </c>
      <c r="F10" s="361" t="s">
        <v>91</v>
      </c>
    </row>
    <row r="11" spans="1:6" ht="30">
      <c r="A11" s="362">
        <v>1</v>
      </c>
      <c r="B11" s="363" t="s">
        <v>92</v>
      </c>
      <c r="C11" s="247" t="s">
        <v>93</v>
      </c>
      <c r="D11" s="246">
        <v>8</v>
      </c>
      <c r="E11" s="364">
        <v>15674.97</v>
      </c>
      <c r="F11" s="365">
        <f>E11*D11</f>
        <v>125399.76</v>
      </c>
    </row>
    <row r="12" spans="1:6" ht="15">
      <c r="A12" s="366">
        <v>2</v>
      </c>
      <c r="B12" s="245" t="s">
        <v>94</v>
      </c>
      <c r="C12" s="367" t="s">
        <v>93</v>
      </c>
      <c r="D12" s="368">
        <v>26</v>
      </c>
      <c r="E12" s="248">
        <v>4472.22</v>
      </c>
      <c r="F12" s="369">
        <f>E12*D12</f>
        <v>116277.72</v>
      </c>
    </row>
    <row r="13" spans="1:6" ht="15">
      <c r="A13" s="370" t="s">
        <v>95</v>
      </c>
      <c r="B13" s="268"/>
      <c r="C13" s="268"/>
      <c r="D13" s="268"/>
      <c r="E13" s="269"/>
      <c r="F13" s="371">
        <f>SUM(F11:F12)/48</f>
        <v>5034.9475</v>
      </c>
    </row>
    <row r="14" spans="1:6" ht="15">
      <c r="A14" s="372" t="s">
        <v>96</v>
      </c>
      <c r="B14" s="373"/>
      <c r="C14" s="373"/>
      <c r="D14" s="373"/>
      <c r="E14" s="374"/>
      <c r="F14" s="375">
        <f>F12/120</f>
        <v>968.981</v>
      </c>
    </row>
    <row r="15" spans="1:6" ht="15">
      <c r="A15" s="370" t="s">
        <v>97</v>
      </c>
      <c r="B15" s="268"/>
      <c r="C15" s="268"/>
      <c r="D15" s="268"/>
      <c r="E15" s="269"/>
      <c r="F15" s="375">
        <f>SUM(F13:F14)</f>
        <v>6003.9285</v>
      </c>
    </row>
    <row r="16" spans="1:6" ht="15.75">
      <c r="A16" s="376" t="s">
        <v>98</v>
      </c>
      <c r="B16" s="311"/>
      <c r="C16" s="311"/>
      <c r="D16" s="311"/>
      <c r="E16" s="377"/>
      <c r="F16" s="378">
        <f>F15/140</f>
        <v>42.8852035714286</v>
      </c>
    </row>
    <row r="17" spans="1:6" ht="36.6" customHeight="1">
      <c r="A17" s="379" t="s">
        <v>99</v>
      </c>
      <c r="B17" s="379"/>
      <c r="C17" s="379"/>
      <c r="D17" s="379"/>
      <c r="E17" s="379"/>
      <c r="F17" s="379"/>
    </row>
    <row r="20" spans="1:6" ht="15">
      <c r="A20" s="380" t="s">
        <v>100</v>
      </c>
      <c r="B20" s="381"/>
      <c r="C20" s="381"/>
      <c r="D20" s="381"/>
      <c r="E20" s="381"/>
      <c r="F20" s="381"/>
    </row>
    <row r="21" ht="15.75"/>
    <row r="22" spans="1:6" ht="15">
      <c r="A22" s="356" t="s">
        <v>65</v>
      </c>
      <c r="B22" s="357" t="s">
        <v>86</v>
      </c>
      <c r="C22" s="358" t="s">
        <v>87</v>
      </c>
      <c r="D22" s="358" t="s">
        <v>88</v>
      </c>
      <c r="E22" s="359" t="s">
        <v>89</v>
      </c>
      <c r="F22" s="281"/>
    </row>
    <row r="23" spans="1:6" ht="15">
      <c r="A23" s="286"/>
      <c r="B23" s="287"/>
      <c r="C23" s="287"/>
      <c r="D23" s="287"/>
      <c r="E23" s="360" t="s">
        <v>90</v>
      </c>
      <c r="F23" s="361" t="s">
        <v>91</v>
      </c>
    </row>
    <row r="24" spans="1:6" ht="45">
      <c r="A24" s="362">
        <v>3</v>
      </c>
      <c r="B24" s="245" t="s">
        <v>101</v>
      </c>
      <c r="C24" s="247" t="s">
        <v>93</v>
      </c>
      <c r="D24" s="246">
        <v>2</v>
      </c>
      <c r="E24" s="364">
        <v>78207.5</v>
      </c>
      <c r="F24" s="365">
        <f aca="true" t="shared" si="0" ref="F24:F26">E24*D24</f>
        <v>156415</v>
      </c>
    </row>
    <row r="25" spans="1:6" ht="15">
      <c r="A25" s="362">
        <v>4</v>
      </c>
      <c r="B25" s="245" t="s">
        <v>102</v>
      </c>
      <c r="C25" s="247" t="s">
        <v>93</v>
      </c>
      <c r="D25" s="246">
        <v>29</v>
      </c>
      <c r="E25" s="364">
        <v>1349.39</v>
      </c>
      <c r="F25" s="365">
        <f t="shared" si="0"/>
        <v>39132.31</v>
      </c>
    </row>
    <row r="26" spans="1:6" ht="90">
      <c r="A26" s="362">
        <v>5</v>
      </c>
      <c r="B26" s="245" t="s">
        <v>103</v>
      </c>
      <c r="C26" s="247" t="s">
        <v>93</v>
      </c>
      <c r="D26" s="246">
        <v>40</v>
      </c>
      <c r="E26" s="364">
        <v>867.45</v>
      </c>
      <c r="F26" s="365">
        <f t="shared" si="0"/>
        <v>34698</v>
      </c>
    </row>
    <row r="27" spans="1:6" ht="15">
      <c r="A27" s="370" t="s">
        <v>104</v>
      </c>
      <c r="B27" s="268"/>
      <c r="C27" s="268"/>
      <c r="D27" s="268"/>
      <c r="E27" s="269"/>
      <c r="F27" s="375">
        <f>F24/60</f>
        <v>2606.91666666667</v>
      </c>
    </row>
    <row r="28" spans="1:6" ht="15">
      <c r="A28" s="370" t="s">
        <v>105</v>
      </c>
      <c r="B28" s="268"/>
      <c r="C28" s="268"/>
      <c r="D28" s="268"/>
      <c r="E28" s="269"/>
      <c r="F28" s="375">
        <f>F25/60</f>
        <v>652.205166666667</v>
      </c>
    </row>
    <row r="29" spans="1:6" ht="15">
      <c r="A29" s="372" t="s">
        <v>106</v>
      </c>
      <c r="B29" s="373"/>
      <c r="C29" s="373"/>
      <c r="D29" s="373"/>
      <c r="E29" s="374"/>
      <c r="F29" s="375">
        <f>F26/60</f>
        <v>578.3</v>
      </c>
    </row>
    <row r="30" spans="1:6" ht="15">
      <c r="A30" s="370" t="s">
        <v>97</v>
      </c>
      <c r="B30" s="268"/>
      <c r="C30" s="268"/>
      <c r="D30" s="268"/>
      <c r="E30" s="269"/>
      <c r="F30" s="375">
        <f>SUM(F27:F29)</f>
        <v>3837.42183333333</v>
      </c>
    </row>
    <row r="31" spans="1:6" ht="15.75">
      <c r="A31" s="376" t="s">
        <v>107</v>
      </c>
      <c r="B31" s="311"/>
      <c r="C31" s="311"/>
      <c r="D31" s="311"/>
      <c r="E31" s="377"/>
      <c r="F31" s="378">
        <f>F30/5</f>
        <v>767.484366666667</v>
      </c>
    </row>
    <row r="32" spans="1:6" ht="27.6" customHeight="1">
      <c r="A32" s="379" t="s">
        <v>99</v>
      </c>
      <c r="B32" s="379"/>
      <c r="C32" s="379"/>
      <c r="D32" s="379"/>
      <c r="E32" s="379"/>
      <c r="F32" s="379"/>
    </row>
    <row r="33" spans="1:6" ht="15">
      <c r="A33" s="382"/>
      <c r="B33" s="279"/>
      <c r="C33" s="279"/>
      <c r="D33" s="279"/>
      <c r="E33" s="279"/>
      <c r="F33" s="383"/>
    </row>
    <row r="34" spans="1:6" ht="15.75">
      <c r="A34" s="381"/>
      <c r="B34" s="381"/>
      <c r="C34" s="381"/>
      <c r="D34" s="381"/>
      <c r="E34" s="381"/>
      <c r="F34" s="381"/>
    </row>
    <row r="35" spans="1:6" ht="15">
      <c r="A35" s="381"/>
      <c r="B35" s="384" t="s">
        <v>108</v>
      </c>
      <c r="C35" s="385" t="s">
        <v>109</v>
      </c>
      <c r="D35" s="281"/>
      <c r="E35" s="381"/>
      <c r="F35" s="381"/>
    </row>
    <row r="36" spans="1:5" ht="30.75" customHeight="1">
      <c r="A36" s="381"/>
      <c r="B36" s="386"/>
      <c r="C36" s="387" t="s">
        <v>110</v>
      </c>
      <c r="D36" s="388" t="s">
        <v>111</v>
      </c>
      <c r="E36" s="381"/>
    </row>
    <row r="37" spans="1:5" ht="15">
      <c r="A37" s="389" t="s">
        <v>112</v>
      </c>
      <c r="B37" s="390" t="s">
        <v>113</v>
      </c>
      <c r="C37" s="391">
        <v>1</v>
      </c>
      <c r="D37" s="392">
        <v>1</v>
      </c>
      <c r="E37" s="381"/>
    </row>
    <row r="38" spans="1:5" ht="15">
      <c r="A38" s="389" t="s">
        <v>112</v>
      </c>
      <c r="B38" s="348" t="s">
        <v>114</v>
      </c>
      <c r="C38" s="349">
        <v>1</v>
      </c>
      <c r="D38" s="350">
        <v>1</v>
      </c>
      <c r="E38" s="381"/>
    </row>
    <row r="39" spans="1:5" ht="15">
      <c r="A39" s="389" t="s">
        <v>112</v>
      </c>
      <c r="B39" s="348" t="s">
        <v>115</v>
      </c>
      <c r="C39" s="393">
        <v>1</v>
      </c>
      <c r="D39" s="394">
        <v>2</v>
      </c>
      <c r="E39" s="381"/>
    </row>
    <row r="40" spans="1:5" ht="15">
      <c r="A40" s="389" t="s">
        <v>112</v>
      </c>
      <c r="B40" s="348" t="s">
        <v>116</v>
      </c>
      <c r="C40" s="349">
        <v>1</v>
      </c>
      <c r="D40" s="350">
        <v>1</v>
      </c>
      <c r="E40" s="381"/>
    </row>
    <row r="41" spans="1:5" ht="15">
      <c r="A41" s="389" t="s">
        <v>112</v>
      </c>
      <c r="B41" s="348" t="s">
        <v>117</v>
      </c>
      <c r="C41" s="349">
        <v>1</v>
      </c>
      <c r="D41" s="350">
        <v>2</v>
      </c>
      <c r="E41" s="381"/>
    </row>
    <row r="42" spans="1:5" ht="15">
      <c r="A42" s="381"/>
      <c r="B42" s="395" t="s">
        <v>118</v>
      </c>
      <c r="C42" s="396">
        <v>1</v>
      </c>
      <c r="D42" s="397">
        <v>4</v>
      </c>
      <c r="E42" s="381"/>
    </row>
    <row r="43" spans="1:5" ht="15">
      <c r="A43" s="381"/>
      <c r="B43" s="398"/>
      <c r="C43" s="399"/>
      <c r="D43" s="400"/>
      <c r="E43" s="381"/>
    </row>
    <row r="44" spans="1:5" ht="15">
      <c r="A44" s="381"/>
      <c r="B44" s="286"/>
      <c r="C44" s="287"/>
      <c r="D44" s="288"/>
      <c r="E44" s="381"/>
    </row>
    <row r="45" spans="1:5" ht="15">
      <c r="A45" s="381"/>
      <c r="B45" s="401" t="s">
        <v>119</v>
      </c>
      <c r="C45" s="402">
        <v>1</v>
      </c>
      <c r="D45" s="403">
        <v>3</v>
      </c>
      <c r="E45" s="381"/>
    </row>
    <row r="46" spans="1:4" ht="15">
      <c r="A46" s="381"/>
      <c r="B46" s="286"/>
      <c r="C46" s="287"/>
      <c r="D46" s="288"/>
    </row>
    <row r="47" spans="1:4" ht="15">
      <c r="A47" s="381"/>
      <c r="B47" s="395" t="s">
        <v>120</v>
      </c>
      <c r="C47" s="396">
        <v>1</v>
      </c>
      <c r="D47" s="397">
        <v>3</v>
      </c>
    </row>
    <row r="48" spans="1:4" ht="15">
      <c r="A48" s="381"/>
      <c r="B48" s="286"/>
      <c r="C48" s="287"/>
      <c r="D48" s="288"/>
    </row>
    <row r="49" spans="1:4" ht="15">
      <c r="A49" s="381"/>
      <c r="B49" s="348" t="s">
        <v>121</v>
      </c>
      <c r="C49" s="349">
        <v>1</v>
      </c>
      <c r="D49" s="350">
        <v>1</v>
      </c>
    </row>
    <row r="50" spans="1:4" ht="15">
      <c r="A50" s="381"/>
      <c r="B50" s="348" t="s">
        <v>122</v>
      </c>
      <c r="C50" s="349">
        <v>1</v>
      </c>
      <c r="D50" s="350">
        <v>1</v>
      </c>
    </row>
    <row r="51" spans="1:4" ht="15">
      <c r="A51" s="381"/>
      <c r="B51" s="348" t="s">
        <v>123</v>
      </c>
      <c r="C51" s="349">
        <v>1</v>
      </c>
      <c r="D51" s="350">
        <v>1</v>
      </c>
    </row>
    <row r="52" spans="1:4" ht="15">
      <c r="A52" s="381"/>
      <c r="B52" s="348" t="s">
        <v>124</v>
      </c>
      <c r="C52" s="349">
        <v>1</v>
      </c>
      <c r="D52" s="350">
        <v>1</v>
      </c>
    </row>
    <row r="53" spans="1:4" ht="15">
      <c r="A53" s="381"/>
      <c r="B53" s="348" t="s">
        <v>125</v>
      </c>
      <c r="C53" s="349">
        <v>1</v>
      </c>
      <c r="D53" s="350">
        <v>1</v>
      </c>
    </row>
    <row r="54" spans="1:4" ht="15">
      <c r="A54" s="381"/>
      <c r="B54" s="348" t="s">
        <v>126</v>
      </c>
      <c r="C54" s="349">
        <v>1</v>
      </c>
      <c r="D54" s="350">
        <v>1</v>
      </c>
    </row>
    <row r="55" spans="1:4" ht="15">
      <c r="A55" s="381"/>
      <c r="B55" s="348" t="s">
        <v>127</v>
      </c>
      <c r="C55" s="349">
        <v>1</v>
      </c>
      <c r="D55" s="350">
        <v>1</v>
      </c>
    </row>
    <row r="56" spans="1:4" ht="15">
      <c r="A56" s="381"/>
      <c r="B56" s="348" t="s">
        <v>128</v>
      </c>
      <c r="C56" s="349">
        <v>1</v>
      </c>
      <c r="D56" s="350">
        <v>1</v>
      </c>
    </row>
    <row r="57" spans="1:4" ht="15">
      <c r="A57" s="381"/>
      <c r="B57" s="348" t="s">
        <v>129</v>
      </c>
      <c r="C57" s="349">
        <v>1</v>
      </c>
      <c r="D57" s="350">
        <v>1</v>
      </c>
    </row>
    <row r="58" spans="1:4" ht="15">
      <c r="A58" s="389" t="s">
        <v>112</v>
      </c>
      <c r="B58" s="348" t="s">
        <v>130</v>
      </c>
      <c r="C58" s="393">
        <v>1</v>
      </c>
      <c r="D58" s="394">
        <v>2</v>
      </c>
    </row>
    <row r="59" spans="1:4" ht="15">
      <c r="A59" s="389" t="s">
        <v>112</v>
      </c>
      <c r="B59" s="348" t="s">
        <v>131</v>
      </c>
      <c r="C59" s="349">
        <v>1</v>
      </c>
      <c r="D59" s="350">
        <v>1</v>
      </c>
    </row>
    <row r="60" spans="1:4" ht="15">
      <c r="A60" s="381"/>
      <c r="B60" s="348" t="s">
        <v>132</v>
      </c>
      <c r="C60" s="349">
        <v>1</v>
      </c>
      <c r="D60" s="350">
        <v>1</v>
      </c>
    </row>
    <row r="61" spans="1:4" ht="15">
      <c r="A61" s="389" t="s">
        <v>112</v>
      </c>
      <c r="B61" s="348" t="s">
        <v>133</v>
      </c>
      <c r="C61" s="349">
        <v>1</v>
      </c>
      <c r="D61" s="350">
        <v>1</v>
      </c>
    </row>
    <row r="62" spans="1:4" ht="15">
      <c r="A62" s="389" t="s">
        <v>112</v>
      </c>
      <c r="B62" s="348" t="s">
        <v>134</v>
      </c>
      <c r="C62" s="349">
        <v>1</v>
      </c>
      <c r="D62" s="350">
        <v>1</v>
      </c>
    </row>
    <row r="63" spans="1:4" ht="15">
      <c r="A63" s="381"/>
      <c r="B63" s="348" t="s">
        <v>135</v>
      </c>
      <c r="C63" s="349">
        <v>1</v>
      </c>
      <c r="D63" s="350">
        <v>1</v>
      </c>
    </row>
    <row r="64" spans="1:4" ht="15">
      <c r="A64" s="389" t="s">
        <v>112</v>
      </c>
      <c r="B64" s="348" t="s">
        <v>136</v>
      </c>
      <c r="C64" s="349">
        <v>2</v>
      </c>
      <c r="D64" s="350">
        <v>2</v>
      </c>
    </row>
    <row r="65" spans="1:4" ht="15">
      <c r="A65" s="389" t="s">
        <v>112</v>
      </c>
      <c r="B65" s="348" t="s">
        <v>137</v>
      </c>
      <c r="C65" s="349">
        <v>1</v>
      </c>
      <c r="D65" s="350">
        <v>1</v>
      </c>
    </row>
    <row r="66" spans="1:4" ht="15">
      <c r="A66" s="389" t="s">
        <v>112</v>
      </c>
      <c r="B66" s="348" t="s">
        <v>138</v>
      </c>
      <c r="C66" s="349">
        <v>1</v>
      </c>
      <c r="D66" s="350">
        <v>1</v>
      </c>
    </row>
    <row r="67" spans="1:4" ht="15">
      <c r="A67" s="389" t="s">
        <v>112</v>
      </c>
      <c r="B67" s="348" t="s">
        <v>139</v>
      </c>
      <c r="C67" s="349">
        <v>1</v>
      </c>
      <c r="D67" s="350">
        <v>2</v>
      </c>
    </row>
    <row r="68" spans="1:4" ht="15">
      <c r="A68" s="389" t="s">
        <v>112</v>
      </c>
      <c r="B68" s="348" t="s">
        <v>140</v>
      </c>
      <c r="C68" s="349">
        <v>1</v>
      </c>
      <c r="D68" s="350">
        <v>1</v>
      </c>
    </row>
    <row r="69" spans="1:4" ht="15.75">
      <c r="A69" s="381"/>
      <c r="B69" s="404" t="s">
        <v>141</v>
      </c>
      <c r="C69" s="405">
        <f>SUM(C37:C68)</f>
        <v>29</v>
      </c>
      <c r="D69" s="406">
        <f>SUM(D37:D68)</f>
        <v>40</v>
      </c>
    </row>
  </sheetData>
  <mergeCells count="38">
    <mergeCell ref="A1:F1"/>
    <mergeCell ref="A2:F2"/>
    <mergeCell ref="A4:F4"/>
    <mergeCell ref="A5:F5"/>
    <mergeCell ref="A7:F7"/>
    <mergeCell ref="E9:F9"/>
    <mergeCell ref="A13:E13"/>
    <mergeCell ref="A14:E14"/>
    <mergeCell ref="A15:E15"/>
    <mergeCell ref="A16:E16"/>
    <mergeCell ref="A17:F17"/>
    <mergeCell ref="A20:F20"/>
    <mergeCell ref="E22:F22"/>
    <mergeCell ref="A27:E27"/>
    <mergeCell ref="A28:E28"/>
    <mergeCell ref="A29:E29"/>
    <mergeCell ref="A30:E30"/>
    <mergeCell ref="A31:E31"/>
    <mergeCell ref="A32:F32"/>
    <mergeCell ref="C35:D35"/>
    <mergeCell ref="A9:A10"/>
    <mergeCell ref="A22:A23"/>
    <mergeCell ref="B9:B10"/>
    <mergeCell ref="B22:B23"/>
    <mergeCell ref="B35:B36"/>
    <mergeCell ref="B42:B44"/>
    <mergeCell ref="B45:B46"/>
    <mergeCell ref="B47:B48"/>
    <mergeCell ref="C9:C10"/>
    <mergeCell ref="C22:C23"/>
    <mergeCell ref="C42:C44"/>
    <mergeCell ref="C45:C46"/>
    <mergeCell ref="C47:C48"/>
    <mergeCell ref="D9:D10"/>
    <mergeCell ref="D22:D23"/>
    <mergeCell ref="D42:D44"/>
    <mergeCell ref="D45:D46"/>
    <mergeCell ref="D47:D48"/>
  </mergeCells>
  <printOptions/>
  <pageMargins left="0.511811024" right="0.511811024" top="0.787401575" bottom="0.787401575" header="0.31496062" footer="0.31496062"/>
  <pageSetup horizontalDpi="600" verticalDpi="600" orientation="portrait" paperSize="9" scale="93"/>
  <headerFooter>
    <oddHeader>&amp;L&amp;G&amp;CProcesso 23069.167552/2021-41
PE 88/2021&amp;R&amp;G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83"/>
  <sheetViews>
    <sheetView view="pageBreakPreview" zoomScale="60" workbookViewId="0" topLeftCell="A1">
      <selection activeCell="A38" sqref="A38:F38"/>
    </sheetView>
  </sheetViews>
  <sheetFormatPr defaultColWidth="8.8515625" defaultRowHeight="15" outlineLevelCol="7"/>
  <cols>
    <col min="1" max="1" width="5.28125" style="0" customWidth="1"/>
    <col min="2" max="2" width="44.57421875" style="0" customWidth="1"/>
    <col min="3" max="3" width="12.28125" style="0" customWidth="1"/>
    <col min="4" max="4" width="16.28125" style="0" customWidth="1"/>
    <col min="5" max="5" width="20.28125" style="0" customWidth="1"/>
    <col min="6" max="6" width="19.57421875" style="0" customWidth="1"/>
    <col min="7" max="8" width="10.8515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28"/>
    </row>
    <row r="2" spans="1:7" ht="18.75">
      <c r="A2" s="2" t="s">
        <v>1</v>
      </c>
      <c r="B2" s="2"/>
      <c r="C2" s="2"/>
      <c r="D2" s="2"/>
      <c r="E2" s="2"/>
      <c r="F2" s="2"/>
      <c r="G2" s="29"/>
    </row>
    <row r="4" spans="1:8" ht="14.4" customHeight="1">
      <c r="A4" s="30" t="s">
        <v>142</v>
      </c>
      <c r="B4" s="30"/>
      <c r="C4" s="30"/>
      <c r="D4" s="30"/>
      <c r="E4" s="30"/>
      <c r="F4" s="30"/>
      <c r="G4" s="31"/>
      <c r="H4" s="4"/>
    </row>
    <row r="5" spans="1:8" ht="33.6" customHeight="1">
      <c r="A5" s="32" t="s">
        <v>5</v>
      </c>
      <c r="B5" s="32"/>
      <c r="C5" s="32"/>
      <c r="D5" s="32"/>
      <c r="E5" s="32"/>
      <c r="F5" s="32"/>
      <c r="G5" s="33"/>
      <c r="H5" s="6"/>
    </row>
    <row r="6" ht="15.75"/>
    <row r="7" spans="1:6" ht="15.75">
      <c r="A7" s="229" t="s">
        <v>143</v>
      </c>
      <c r="B7" s="230"/>
      <c r="C7" s="230"/>
      <c r="D7" s="230"/>
      <c r="E7" s="230"/>
      <c r="F7" s="231"/>
    </row>
    <row r="8" spans="1:6" ht="15">
      <c r="A8" s="232" t="s">
        <v>144</v>
      </c>
      <c r="B8" s="233"/>
      <c r="C8" s="233"/>
      <c r="D8" s="233"/>
      <c r="E8" s="233"/>
      <c r="F8" s="234"/>
    </row>
    <row r="9" spans="1:6" ht="15.75">
      <c r="A9" s="235"/>
      <c r="B9" s="236"/>
      <c r="C9" s="236"/>
      <c r="D9" s="236"/>
      <c r="E9" s="236"/>
      <c r="F9" s="237"/>
    </row>
    <row r="10" spans="1:6" ht="15">
      <c r="A10" s="238" t="s">
        <v>145</v>
      </c>
      <c r="B10" s="239"/>
      <c r="C10" s="239"/>
      <c r="D10" s="239"/>
      <c r="E10" s="239"/>
      <c r="F10" s="240"/>
    </row>
    <row r="11" spans="1:6" ht="36" customHeight="1">
      <c r="A11" s="241" t="s">
        <v>65</v>
      </c>
      <c r="B11" s="242" t="s">
        <v>146</v>
      </c>
      <c r="C11" s="242" t="s">
        <v>147</v>
      </c>
      <c r="D11" s="242" t="s">
        <v>88</v>
      </c>
      <c r="E11" s="242" t="s">
        <v>148</v>
      </c>
      <c r="F11" s="243" t="s">
        <v>149</v>
      </c>
    </row>
    <row r="12" spans="1:6" ht="15">
      <c r="A12" s="244">
        <v>1</v>
      </c>
      <c r="B12" s="245" t="s">
        <v>150</v>
      </c>
      <c r="C12" s="246" t="s">
        <v>151</v>
      </c>
      <c r="D12" s="247">
        <v>312</v>
      </c>
      <c r="E12" s="248">
        <v>4.98</v>
      </c>
      <c r="F12" s="249">
        <f aca="true" t="shared" si="0" ref="F12:F21">E12*D12</f>
        <v>1553.76</v>
      </c>
    </row>
    <row r="13" spans="1:6" ht="30">
      <c r="A13" s="244">
        <v>2</v>
      </c>
      <c r="B13" s="245" t="s">
        <v>152</v>
      </c>
      <c r="C13" s="246" t="s">
        <v>151</v>
      </c>
      <c r="D13" s="247">
        <v>102</v>
      </c>
      <c r="E13" s="248">
        <v>66.8</v>
      </c>
      <c r="F13" s="249">
        <f t="shared" si="0"/>
        <v>6813.6</v>
      </c>
    </row>
    <row r="14" spans="1:6" ht="30">
      <c r="A14" s="250">
        <v>3</v>
      </c>
      <c r="B14" s="251" t="s">
        <v>153</v>
      </c>
      <c r="C14" s="246" t="s">
        <v>151</v>
      </c>
      <c r="D14" s="247">
        <v>160</v>
      </c>
      <c r="E14" s="248">
        <v>7.25</v>
      </c>
      <c r="F14" s="249">
        <f t="shared" si="0"/>
        <v>1160</v>
      </c>
    </row>
    <row r="15" spans="1:6" ht="15">
      <c r="A15" s="250">
        <v>4</v>
      </c>
      <c r="B15" s="251" t="s">
        <v>154</v>
      </c>
      <c r="C15" s="246" t="s">
        <v>151</v>
      </c>
      <c r="D15" s="247">
        <v>40</v>
      </c>
      <c r="E15" s="248">
        <v>22.65</v>
      </c>
      <c r="F15" s="249">
        <f t="shared" si="0"/>
        <v>906</v>
      </c>
    </row>
    <row r="16" spans="1:6" ht="15">
      <c r="A16" s="244">
        <v>5</v>
      </c>
      <c r="B16" s="251" t="s">
        <v>155</v>
      </c>
      <c r="C16" s="246" t="s">
        <v>151</v>
      </c>
      <c r="D16" s="247">
        <v>40</v>
      </c>
      <c r="E16" s="248">
        <v>20.93</v>
      </c>
      <c r="F16" s="249">
        <f t="shared" si="0"/>
        <v>837.2</v>
      </c>
    </row>
    <row r="17" spans="1:6" ht="60">
      <c r="A17" s="250">
        <v>6</v>
      </c>
      <c r="B17" s="252" t="s">
        <v>156</v>
      </c>
      <c r="C17" s="246" t="s">
        <v>151</v>
      </c>
      <c r="D17" s="247">
        <v>140</v>
      </c>
      <c r="E17" s="248">
        <v>16.96</v>
      </c>
      <c r="F17" s="249">
        <f t="shared" si="0"/>
        <v>2374.4</v>
      </c>
    </row>
    <row r="18" spans="1:6" ht="119.4" customHeight="1">
      <c r="A18" s="244">
        <v>7</v>
      </c>
      <c r="B18" s="252" t="s">
        <v>157</v>
      </c>
      <c r="C18" s="246" t="s">
        <v>151</v>
      </c>
      <c r="D18" s="247">
        <v>40</v>
      </c>
      <c r="E18" s="248">
        <v>48.66</v>
      </c>
      <c r="F18" s="249">
        <f t="shared" si="0"/>
        <v>1946.4</v>
      </c>
    </row>
    <row r="19" spans="1:6" ht="45">
      <c r="A19" s="244">
        <v>8</v>
      </c>
      <c r="B19" s="253" t="s">
        <v>158</v>
      </c>
      <c r="C19" s="246" t="s">
        <v>151</v>
      </c>
      <c r="D19" s="247">
        <v>140</v>
      </c>
      <c r="E19" s="248">
        <v>1595</v>
      </c>
      <c r="F19" s="249">
        <f t="shared" si="0"/>
        <v>223300</v>
      </c>
    </row>
    <row r="20" spans="1:6" ht="15">
      <c r="A20" s="254">
        <v>9</v>
      </c>
      <c r="B20" s="255" t="s">
        <v>159</v>
      </c>
      <c r="C20" s="256" t="s">
        <v>151</v>
      </c>
      <c r="D20" s="257">
        <v>40</v>
      </c>
      <c r="E20" s="258">
        <v>116.67</v>
      </c>
      <c r="F20" s="259">
        <f aca="true" t="shared" si="1" ref="F20">E20*D20</f>
        <v>4666.8</v>
      </c>
    </row>
    <row r="21" spans="1:6" ht="15">
      <c r="A21" s="260">
        <v>10</v>
      </c>
      <c r="B21" s="261" t="s">
        <v>160</v>
      </c>
      <c r="C21" s="262" t="s">
        <v>151</v>
      </c>
      <c r="D21" s="263">
        <v>26</v>
      </c>
      <c r="E21" s="264">
        <v>148.7</v>
      </c>
      <c r="F21" s="265">
        <f t="shared" si="0"/>
        <v>3866.2</v>
      </c>
    </row>
    <row r="22" spans="1:6" ht="15">
      <c r="A22" s="260">
        <v>11</v>
      </c>
      <c r="B22" s="261" t="s">
        <v>161</v>
      </c>
      <c r="C22" s="262" t="s">
        <v>151</v>
      </c>
      <c r="D22" s="263">
        <v>4</v>
      </c>
      <c r="E22" s="264">
        <v>680</v>
      </c>
      <c r="F22" s="265">
        <f aca="true" t="shared" si="2" ref="F22:F23">E22*D22</f>
        <v>2720</v>
      </c>
    </row>
    <row r="23" spans="1:6" ht="45">
      <c r="A23" s="266">
        <v>12</v>
      </c>
      <c r="B23" s="252" t="s">
        <v>162</v>
      </c>
      <c r="C23" s="262" t="s">
        <v>93</v>
      </c>
      <c r="D23" s="263">
        <v>40</v>
      </c>
      <c r="E23" s="264">
        <v>23.03</v>
      </c>
      <c r="F23" s="265">
        <f t="shared" si="2"/>
        <v>921.2</v>
      </c>
    </row>
    <row r="24" spans="1:8" ht="15">
      <c r="A24" s="267" t="s">
        <v>163</v>
      </c>
      <c r="B24" s="268"/>
      <c r="C24" s="268"/>
      <c r="D24" s="268"/>
      <c r="E24" s="269"/>
      <c r="F24" s="270">
        <f>SUM(F12:F23)</f>
        <v>251065.56</v>
      </c>
      <c r="G24" s="271"/>
      <c r="H24" s="271"/>
    </row>
    <row r="25" spans="1:8" ht="15">
      <c r="A25" s="267" t="s">
        <v>164</v>
      </c>
      <c r="B25" s="268"/>
      <c r="C25" s="268"/>
      <c r="D25" s="268"/>
      <c r="E25" s="269"/>
      <c r="F25" s="272">
        <f>+F24/12</f>
        <v>20922.13</v>
      </c>
      <c r="G25" s="273"/>
      <c r="H25" s="273"/>
    </row>
    <row r="26" spans="1:6" ht="15.75">
      <c r="A26" s="274" t="s">
        <v>165</v>
      </c>
      <c r="B26" s="275"/>
      <c r="C26" s="275"/>
      <c r="D26" s="275"/>
      <c r="E26" s="276"/>
      <c r="F26" s="277">
        <f>+F25/140</f>
        <v>149.443785714286</v>
      </c>
    </row>
    <row r="27" spans="1:6" ht="15.75">
      <c r="A27" s="278"/>
      <c r="B27" s="279"/>
      <c r="C27" s="279"/>
      <c r="D27" s="279"/>
      <c r="E27" s="279"/>
      <c r="F27" s="279"/>
    </row>
    <row r="28" spans="1:6" ht="15">
      <c r="A28" s="280" t="s">
        <v>166</v>
      </c>
      <c r="B28" s="239"/>
      <c r="C28" s="239"/>
      <c r="D28" s="239"/>
      <c r="E28" s="239"/>
      <c r="F28" s="281"/>
    </row>
    <row r="29" spans="1:6" ht="15">
      <c r="A29" s="282" t="s">
        <v>167</v>
      </c>
      <c r="B29" s="283" t="s">
        <v>168</v>
      </c>
      <c r="C29" s="283" t="s">
        <v>169</v>
      </c>
      <c r="D29" s="283" t="s">
        <v>170</v>
      </c>
      <c r="E29" s="284" t="s">
        <v>171</v>
      </c>
      <c r="F29" s="285" t="s">
        <v>172</v>
      </c>
    </row>
    <row r="30" spans="1:6" ht="28.2" customHeight="1">
      <c r="A30" s="286"/>
      <c r="B30" s="287"/>
      <c r="C30" s="287"/>
      <c r="D30" s="287"/>
      <c r="E30" s="287"/>
      <c r="F30" s="288"/>
    </row>
    <row r="31" spans="1:6" ht="25.5">
      <c r="A31" s="289">
        <v>1</v>
      </c>
      <c r="B31" s="290" t="s">
        <v>173</v>
      </c>
      <c r="C31" s="291">
        <v>1200</v>
      </c>
      <c r="D31" s="292">
        <v>7.25</v>
      </c>
      <c r="E31" s="293">
        <v>100</v>
      </c>
      <c r="F31" s="294">
        <f>E31*D31</f>
        <v>725</v>
      </c>
    </row>
    <row r="32" spans="1:6" ht="25.5">
      <c r="A32" s="289">
        <v>2</v>
      </c>
      <c r="B32" s="290" t="s">
        <v>174</v>
      </c>
      <c r="C32" s="291">
        <v>2640</v>
      </c>
      <c r="D32" s="292">
        <v>7.25</v>
      </c>
      <c r="E32" s="293">
        <v>220</v>
      </c>
      <c r="F32" s="294">
        <f aca="true" t="shared" si="3" ref="F32:F33">E32*D32</f>
        <v>1595</v>
      </c>
    </row>
    <row r="33" spans="1:6" ht="25.5">
      <c r="A33" s="289">
        <v>3</v>
      </c>
      <c r="B33" s="290" t="s">
        <v>175</v>
      </c>
      <c r="C33" s="291">
        <v>21600</v>
      </c>
      <c r="D33" s="292">
        <v>7.25</v>
      </c>
      <c r="E33" s="293">
        <f>+C33/45</f>
        <v>480</v>
      </c>
      <c r="F33" s="294">
        <f t="shared" si="3"/>
        <v>3480</v>
      </c>
    </row>
    <row r="34" spans="1:6" ht="15">
      <c r="A34" s="295" t="s">
        <v>176</v>
      </c>
      <c r="B34" s="296"/>
      <c r="C34" s="296"/>
      <c r="D34" s="297"/>
      <c r="E34" s="298" t="s">
        <v>177</v>
      </c>
      <c r="F34" s="299" t="s">
        <v>178</v>
      </c>
    </row>
    <row r="35" spans="1:6" ht="15">
      <c r="A35" s="300"/>
      <c r="B35" s="301"/>
      <c r="C35" s="301"/>
      <c r="D35" s="302"/>
      <c r="E35" s="303">
        <f>SUM(F31:F33)</f>
        <v>5800</v>
      </c>
      <c r="F35" s="304">
        <f>12*E35</f>
        <v>69600</v>
      </c>
    </row>
    <row r="36" spans="1:6" ht="15">
      <c r="A36" s="305" t="s">
        <v>179</v>
      </c>
      <c r="B36" s="268"/>
      <c r="C36" s="268"/>
      <c r="D36" s="268"/>
      <c r="E36" s="269"/>
      <c r="F36" s="306">
        <f>F35</f>
        <v>69600</v>
      </c>
    </row>
    <row r="37" spans="1:6" ht="15.75">
      <c r="A37" s="307" t="s">
        <v>180</v>
      </c>
      <c r="B37" s="296"/>
      <c r="C37" s="296"/>
      <c r="D37" s="296"/>
      <c r="E37" s="297"/>
      <c r="F37" s="308">
        <f>E35/5</f>
        <v>1160</v>
      </c>
    </row>
    <row r="38" spans="1:6" ht="86.25" customHeight="1">
      <c r="A38" s="309" t="s">
        <v>181</v>
      </c>
      <c r="B38" s="239"/>
      <c r="C38" s="239"/>
      <c r="D38" s="239"/>
      <c r="E38" s="239"/>
      <c r="F38" s="281"/>
    </row>
    <row r="39" spans="1:6" ht="15.75">
      <c r="A39" s="310" t="s">
        <v>182</v>
      </c>
      <c r="B39" s="311"/>
      <c r="C39" s="311"/>
      <c r="D39" s="311"/>
      <c r="E39" s="311"/>
      <c r="F39" s="312"/>
    </row>
    <row r="42" spans="1:6" ht="15">
      <c r="A42" s="8" t="s">
        <v>65</v>
      </c>
      <c r="B42" s="313" t="s">
        <v>86</v>
      </c>
      <c r="C42" s="8" t="s">
        <v>87</v>
      </c>
      <c r="D42" s="8" t="s">
        <v>88</v>
      </c>
      <c r="E42" s="314" t="s">
        <v>89</v>
      </c>
      <c r="F42" s="314"/>
    </row>
    <row r="43" spans="1:6" ht="15">
      <c r="A43" s="8"/>
      <c r="B43" s="313"/>
      <c r="C43" s="8"/>
      <c r="D43" s="8"/>
      <c r="E43" s="314" t="s">
        <v>90</v>
      </c>
      <c r="F43" s="314" t="s">
        <v>91</v>
      </c>
    </row>
    <row r="44" spans="1:6" ht="45">
      <c r="A44" s="315">
        <v>1</v>
      </c>
      <c r="B44" s="316" t="s">
        <v>183</v>
      </c>
      <c r="C44" s="317" t="s">
        <v>93</v>
      </c>
      <c r="D44" s="318">
        <v>45</v>
      </c>
      <c r="E44" s="319"/>
      <c r="F44" s="320">
        <v>0</v>
      </c>
    </row>
    <row r="45" ht="15.75"/>
    <row r="46" spans="2:4" ht="15" customHeight="1">
      <c r="B46" s="321" t="s">
        <v>108</v>
      </c>
      <c r="C46" s="322" t="s">
        <v>109</v>
      </c>
      <c r="D46" s="323"/>
    </row>
    <row r="47" spans="2:4" ht="27.75" customHeight="1">
      <c r="B47" s="324"/>
      <c r="C47" s="325" t="s">
        <v>184</v>
      </c>
      <c r="D47" s="326" t="s">
        <v>185</v>
      </c>
    </row>
    <row r="48" spans="2:4" ht="15">
      <c r="B48" s="327" t="s">
        <v>186</v>
      </c>
      <c r="C48" s="328">
        <v>1</v>
      </c>
      <c r="D48" s="329">
        <v>0</v>
      </c>
    </row>
    <row r="49" spans="2:4" ht="15">
      <c r="B49" s="327" t="s">
        <v>187</v>
      </c>
      <c r="C49" s="328">
        <v>1</v>
      </c>
      <c r="D49" s="329">
        <v>0</v>
      </c>
    </row>
    <row r="50" spans="2:4" ht="15">
      <c r="B50" s="327" t="s">
        <v>188</v>
      </c>
      <c r="C50" s="328">
        <v>3</v>
      </c>
      <c r="D50" s="329">
        <v>0</v>
      </c>
    </row>
    <row r="51" spans="1:4" ht="15">
      <c r="A51" t="s">
        <v>112</v>
      </c>
      <c r="B51" s="327" t="s">
        <v>113</v>
      </c>
      <c r="C51" s="328">
        <v>1</v>
      </c>
      <c r="D51" s="329">
        <v>1</v>
      </c>
    </row>
    <row r="52" spans="1:4" ht="15">
      <c r="A52" t="s">
        <v>112</v>
      </c>
      <c r="B52" s="330" t="s">
        <v>114</v>
      </c>
      <c r="C52" s="331">
        <v>1</v>
      </c>
      <c r="D52" s="332">
        <v>1</v>
      </c>
    </row>
    <row r="53" spans="1:4" ht="15">
      <c r="A53" t="s">
        <v>112</v>
      </c>
      <c r="B53" s="330" t="s">
        <v>115</v>
      </c>
      <c r="C53" s="333">
        <v>2</v>
      </c>
      <c r="D53" s="334">
        <v>2</v>
      </c>
    </row>
    <row r="54" spans="1:4" ht="15">
      <c r="A54" t="s">
        <v>112</v>
      </c>
      <c r="B54" s="330" t="s">
        <v>116</v>
      </c>
      <c r="C54" s="331">
        <v>2</v>
      </c>
      <c r="D54" s="332">
        <v>2</v>
      </c>
    </row>
    <row r="55" spans="1:4" ht="15">
      <c r="A55" t="s">
        <v>112</v>
      </c>
      <c r="B55" s="330" t="s">
        <v>117</v>
      </c>
      <c r="C55" s="331">
        <v>1</v>
      </c>
      <c r="D55" s="332">
        <v>1</v>
      </c>
    </row>
    <row r="56" spans="2:4" ht="15">
      <c r="B56" s="335" t="s">
        <v>118</v>
      </c>
      <c r="C56" s="336">
        <v>4</v>
      </c>
      <c r="D56" s="337">
        <v>4</v>
      </c>
    </row>
    <row r="57" spans="2:4" ht="15">
      <c r="B57" s="338"/>
      <c r="C57" s="339"/>
      <c r="D57" s="340"/>
    </row>
    <row r="58" spans="2:4" ht="15">
      <c r="B58" s="341"/>
      <c r="C58" s="342"/>
      <c r="D58" s="343"/>
    </row>
    <row r="59" spans="2:4" ht="15">
      <c r="B59" s="344" t="s">
        <v>119</v>
      </c>
      <c r="C59" s="345">
        <v>3</v>
      </c>
      <c r="D59" s="346">
        <v>3</v>
      </c>
    </row>
    <row r="60" spans="2:4" ht="15">
      <c r="B60" s="347"/>
      <c r="C60" s="328"/>
      <c r="D60" s="329"/>
    </row>
    <row r="61" spans="2:4" ht="15">
      <c r="B61" s="335" t="s">
        <v>120</v>
      </c>
      <c r="C61" s="336">
        <v>3</v>
      </c>
      <c r="D61" s="337">
        <v>3</v>
      </c>
    </row>
    <row r="62" spans="2:4" ht="15">
      <c r="B62" s="341"/>
      <c r="C62" s="342"/>
      <c r="D62" s="343"/>
    </row>
    <row r="63" spans="2:4" ht="15">
      <c r="B63" s="330" t="s">
        <v>121</v>
      </c>
      <c r="C63" s="331">
        <v>1</v>
      </c>
      <c r="D63" s="332">
        <v>1</v>
      </c>
    </row>
    <row r="64" spans="2:4" ht="15">
      <c r="B64" s="330" t="s">
        <v>122</v>
      </c>
      <c r="C64" s="331">
        <v>1</v>
      </c>
      <c r="D64" s="332">
        <v>1</v>
      </c>
    </row>
    <row r="65" spans="2:4" ht="15">
      <c r="B65" s="348" t="s">
        <v>123</v>
      </c>
      <c r="C65" s="349">
        <v>1</v>
      </c>
      <c r="D65" s="350">
        <v>1</v>
      </c>
    </row>
    <row r="66" spans="2:4" ht="15">
      <c r="B66" s="330" t="s">
        <v>124</v>
      </c>
      <c r="C66" s="331">
        <v>1</v>
      </c>
      <c r="D66" s="332">
        <v>1</v>
      </c>
    </row>
    <row r="67" spans="2:4" ht="15">
      <c r="B67" s="330" t="s">
        <v>125</v>
      </c>
      <c r="C67" s="331">
        <v>1</v>
      </c>
      <c r="D67" s="332">
        <v>1</v>
      </c>
    </row>
    <row r="68" spans="2:4" ht="15">
      <c r="B68" s="348" t="s">
        <v>126</v>
      </c>
      <c r="C68" s="349">
        <v>1</v>
      </c>
      <c r="D68" s="350">
        <v>1</v>
      </c>
    </row>
    <row r="69" spans="2:4" ht="15">
      <c r="B69" s="330" t="s">
        <v>127</v>
      </c>
      <c r="C69" s="331">
        <v>1</v>
      </c>
      <c r="D69" s="332">
        <v>1</v>
      </c>
    </row>
    <row r="70" spans="2:4" ht="15">
      <c r="B70" s="330" t="s">
        <v>128</v>
      </c>
      <c r="C70" s="331">
        <v>1</v>
      </c>
      <c r="D70" s="332">
        <v>1</v>
      </c>
    </row>
    <row r="71" spans="2:4" ht="15">
      <c r="B71" s="330" t="s">
        <v>129</v>
      </c>
      <c r="C71" s="331">
        <v>1</v>
      </c>
      <c r="D71" s="332">
        <v>1</v>
      </c>
    </row>
    <row r="72" spans="1:4" ht="15">
      <c r="A72" t="s">
        <v>112</v>
      </c>
      <c r="B72" s="330" t="s">
        <v>130</v>
      </c>
      <c r="C72" s="333">
        <v>2</v>
      </c>
      <c r="D72" s="334">
        <v>2</v>
      </c>
    </row>
    <row r="73" spans="1:4" ht="15">
      <c r="A73" t="s">
        <v>112</v>
      </c>
      <c r="B73" s="330" t="s">
        <v>131</v>
      </c>
      <c r="C73" s="331">
        <v>1</v>
      </c>
      <c r="D73" s="332">
        <v>1</v>
      </c>
    </row>
    <row r="74" spans="2:4" ht="15">
      <c r="B74" s="330" t="s">
        <v>132</v>
      </c>
      <c r="C74" s="331">
        <v>1</v>
      </c>
      <c r="D74" s="332">
        <v>1</v>
      </c>
    </row>
    <row r="75" spans="1:4" ht="15">
      <c r="A75" t="s">
        <v>112</v>
      </c>
      <c r="B75" s="330" t="s">
        <v>133</v>
      </c>
      <c r="C75" s="331">
        <v>1</v>
      </c>
      <c r="D75" s="332">
        <v>1</v>
      </c>
    </row>
    <row r="76" spans="1:4" ht="15">
      <c r="A76" t="s">
        <v>112</v>
      </c>
      <c r="B76" s="330" t="s">
        <v>134</v>
      </c>
      <c r="C76" s="331">
        <v>1</v>
      </c>
      <c r="D76" s="332">
        <v>1</v>
      </c>
    </row>
    <row r="77" spans="2:4" ht="15">
      <c r="B77" s="330" t="s">
        <v>135</v>
      </c>
      <c r="C77" s="331">
        <v>1</v>
      </c>
      <c r="D77" s="332">
        <v>1</v>
      </c>
    </row>
    <row r="78" spans="1:4" ht="15">
      <c r="A78" t="s">
        <v>112</v>
      </c>
      <c r="B78" s="330" t="s">
        <v>136</v>
      </c>
      <c r="C78" s="331">
        <v>2</v>
      </c>
      <c r="D78" s="332">
        <v>2</v>
      </c>
    </row>
    <row r="79" spans="1:4" ht="15">
      <c r="A79" t="s">
        <v>112</v>
      </c>
      <c r="B79" s="330" t="s">
        <v>137</v>
      </c>
      <c r="C79" s="331">
        <v>1</v>
      </c>
      <c r="D79" s="332">
        <v>1</v>
      </c>
    </row>
    <row r="80" spans="1:4" ht="15">
      <c r="A80" t="s">
        <v>112</v>
      </c>
      <c r="B80" s="330" t="s">
        <v>138</v>
      </c>
      <c r="C80" s="331">
        <v>1</v>
      </c>
      <c r="D80" s="332">
        <v>1</v>
      </c>
    </row>
    <row r="81" spans="1:4" ht="15">
      <c r="A81" t="s">
        <v>112</v>
      </c>
      <c r="B81" s="330" t="s">
        <v>139</v>
      </c>
      <c r="C81" s="331">
        <v>2</v>
      </c>
      <c r="D81" s="332">
        <v>2</v>
      </c>
    </row>
    <row r="82" spans="1:4" ht="15">
      <c r="A82" t="s">
        <v>112</v>
      </c>
      <c r="B82" s="330" t="s">
        <v>140</v>
      </c>
      <c r="C82" s="331">
        <v>1</v>
      </c>
      <c r="D82" s="332">
        <v>1</v>
      </c>
    </row>
    <row r="83" spans="2:4" ht="15.75">
      <c r="B83" s="351" t="s">
        <v>141</v>
      </c>
      <c r="C83" s="352">
        <f>SUM(C48:C82)</f>
        <v>45</v>
      </c>
      <c r="D83" s="353">
        <f>SUM(D48:D82)</f>
        <v>40</v>
      </c>
    </row>
  </sheetData>
  <mergeCells count="39">
    <mergeCell ref="A1:F1"/>
    <mergeCell ref="A2:F2"/>
    <mergeCell ref="A4:F4"/>
    <mergeCell ref="A5:F5"/>
    <mergeCell ref="A7:F7"/>
    <mergeCell ref="A10:F10"/>
    <mergeCell ref="A24:E24"/>
    <mergeCell ref="A25:E25"/>
    <mergeCell ref="A26:E26"/>
    <mergeCell ref="A27:F27"/>
    <mergeCell ref="A28:F28"/>
    <mergeCell ref="A36:E36"/>
    <mergeCell ref="A37:E37"/>
    <mergeCell ref="A38:F38"/>
    <mergeCell ref="A39:F39"/>
    <mergeCell ref="E42:F42"/>
    <mergeCell ref="C46:D46"/>
    <mergeCell ref="A29:A30"/>
    <mergeCell ref="A42:A43"/>
    <mergeCell ref="B29:B30"/>
    <mergeCell ref="B42:B43"/>
    <mergeCell ref="B46:B47"/>
    <mergeCell ref="B56:B58"/>
    <mergeCell ref="B59:B60"/>
    <mergeCell ref="B61:B62"/>
    <mergeCell ref="C29:C30"/>
    <mergeCell ref="C42:C43"/>
    <mergeCell ref="C56:C58"/>
    <mergeCell ref="C59:C60"/>
    <mergeCell ref="C61:C62"/>
    <mergeCell ref="D29:D30"/>
    <mergeCell ref="D42:D43"/>
    <mergeCell ref="D56:D58"/>
    <mergeCell ref="D59:D60"/>
    <mergeCell ref="D61:D62"/>
    <mergeCell ref="E29:E30"/>
    <mergeCell ref="F29:F30"/>
    <mergeCell ref="A34:D35"/>
    <mergeCell ref="A8:F9"/>
  </mergeCells>
  <printOptions/>
  <pageMargins left="0.511811024" right="0.511811024" top="0.787401575" bottom="0.787401575" header="0.31496062" footer="0.31496062"/>
  <pageSetup horizontalDpi="600" verticalDpi="600" orientation="portrait" paperSize="9" scale="77"/>
  <headerFooter>
    <oddHeader>&amp;L&amp;G&amp;CProcesso 23069.167552/2021-41
PE 88/2021&amp;R&amp;G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53"/>
  <sheetViews>
    <sheetView workbookViewId="0" topLeftCell="A3">
      <selection activeCell="F3" sqref="F3"/>
    </sheetView>
  </sheetViews>
  <sheetFormatPr defaultColWidth="8.8515625" defaultRowHeight="15" outlineLevelCol="7"/>
  <cols>
    <col min="1" max="1" width="5.28125" style="0" customWidth="1"/>
    <col min="2" max="2" width="46.8515625" style="0" customWidth="1"/>
    <col min="3" max="3" width="6.00390625" style="0" customWidth="1"/>
    <col min="4" max="4" width="10.57421875" style="0" customWidth="1"/>
    <col min="5" max="5" width="12.28125" style="0" customWidth="1"/>
    <col min="6" max="6" width="14.140625" style="0" customWidth="1"/>
    <col min="7" max="7" width="9.421875" style="0" customWidth="1"/>
    <col min="8" max="8" width="10.7109375" style="0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2"/>
      <c r="C2" s="2"/>
      <c r="D2" s="2"/>
      <c r="E2" s="2"/>
      <c r="F2" s="2"/>
      <c r="G2" s="2"/>
      <c r="H2" s="2"/>
    </row>
    <row r="4" spans="1:8" ht="15">
      <c r="A4" s="200" t="s">
        <v>189</v>
      </c>
      <c r="B4" s="200"/>
      <c r="C4" s="200"/>
      <c r="D4" s="200"/>
      <c r="E4" s="200"/>
      <c r="F4" s="200"/>
      <c r="G4" s="200"/>
      <c r="H4" s="200"/>
    </row>
    <row r="5" spans="1:8" ht="15">
      <c r="A5" s="32" t="s">
        <v>5</v>
      </c>
      <c r="B5" s="32"/>
      <c r="C5" s="32"/>
      <c r="D5" s="32"/>
      <c r="E5" s="32"/>
      <c r="F5" s="32"/>
      <c r="G5" s="32"/>
      <c r="H5" s="32"/>
    </row>
    <row r="7" spans="1:8" ht="15">
      <c r="A7" s="201" t="s">
        <v>190</v>
      </c>
      <c r="B7" s="202"/>
      <c r="C7" s="202"/>
      <c r="D7" s="202"/>
      <c r="E7" s="202"/>
      <c r="F7" s="202"/>
      <c r="G7" s="202"/>
      <c r="H7" s="203"/>
    </row>
    <row r="8" spans="1:8" ht="45">
      <c r="A8" s="204" t="s">
        <v>65</v>
      </c>
      <c r="B8" s="205" t="s">
        <v>191</v>
      </c>
      <c r="C8" s="205" t="s">
        <v>147</v>
      </c>
      <c r="D8" s="205" t="s">
        <v>192</v>
      </c>
      <c r="E8" s="205" t="s">
        <v>193</v>
      </c>
      <c r="F8" s="205" t="s">
        <v>194</v>
      </c>
      <c r="G8" s="205" t="s">
        <v>148</v>
      </c>
      <c r="H8" s="206" t="s">
        <v>195</v>
      </c>
    </row>
    <row r="9" spans="1:8" ht="114.75">
      <c r="A9" s="207">
        <v>1</v>
      </c>
      <c r="B9" s="208" t="s">
        <v>196</v>
      </c>
      <c r="C9" s="209" t="s">
        <v>197</v>
      </c>
      <c r="D9" s="209">
        <v>1</v>
      </c>
      <c r="E9" s="209">
        <v>0</v>
      </c>
      <c r="F9" s="209">
        <v>1</v>
      </c>
      <c r="G9" s="210">
        <v>74.67</v>
      </c>
      <c r="H9" s="211">
        <f>G9*F9</f>
        <v>74.67</v>
      </c>
    </row>
    <row r="10" spans="1:8" ht="25.5">
      <c r="A10" s="212">
        <v>2</v>
      </c>
      <c r="B10" s="213" t="s">
        <v>198</v>
      </c>
      <c r="C10" s="214" t="s">
        <v>197</v>
      </c>
      <c r="D10" s="214">
        <v>2</v>
      </c>
      <c r="E10" s="214">
        <v>2</v>
      </c>
      <c r="F10" s="209">
        <v>4</v>
      </c>
      <c r="G10" s="215">
        <v>53.67</v>
      </c>
      <c r="H10" s="211">
        <f aca="true" t="shared" si="0" ref="H10:H18">G10*F10</f>
        <v>214.68</v>
      </c>
    </row>
    <row r="11" spans="1:8" ht="38.25">
      <c r="A11" s="207">
        <v>3</v>
      </c>
      <c r="B11" s="213" t="s">
        <v>199</v>
      </c>
      <c r="C11" s="214" t="s">
        <v>197</v>
      </c>
      <c r="D11" s="214">
        <v>2</v>
      </c>
      <c r="E11" s="214">
        <v>2</v>
      </c>
      <c r="F11" s="209">
        <v>4</v>
      </c>
      <c r="G11" s="215">
        <v>84</v>
      </c>
      <c r="H11" s="211">
        <f t="shared" si="0"/>
        <v>336</v>
      </c>
    </row>
    <row r="12" spans="1:8" ht="15">
      <c r="A12" s="212">
        <v>4</v>
      </c>
      <c r="B12" s="213" t="s">
        <v>200</v>
      </c>
      <c r="C12" s="214" t="s">
        <v>201</v>
      </c>
      <c r="D12" s="214">
        <v>1</v>
      </c>
      <c r="E12" s="214">
        <v>1</v>
      </c>
      <c r="F12" s="209">
        <v>2</v>
      </c>
      <c r="G12" s="215">
        <v>101.36</v>
      </c>
      <c r="H12" s="211">
        <f t="shared" si="0"/>
        <v>202.72</v>
      </c>
    </row>
    <row r="13" spans="1:8" ht="15">
      <c r="A13" s="207">
        <v>5</v>
      </c>
      <c r="B13" s="213" t="s">
        <v>202</v>
      </c>
      <c r="C13" s="214" t="s">
        <v>197</v>
      </c>
      <c r="D13" s="214">
        <v>1</v>
      </c>
      <c r="E13" s="214">
        <v>1</v>
      </c>
      <c r="F13" s="209">
        <v>2</v>
      </c>
      <c r="G13" s="215">
        <v>12.79</v>
      </c>
      <c r="H13" s="211">
        <f t="shared" si="0"/>
        <v>25.58</v>
      </c>
    </row>
    <row r="14" spans="1:8" ht="45">
      <c r="A14" s="212">
        <v>6</v>
      </c>
      <c r="B14" s="216" t="s">
        <v>203</v>
      </c>
      <c r="C14" s="214" t="s">
        <v>197</v>
      </c>
      <c r="D14" s="214">
        <v>1</v>
      </c>
      <c r="E14" s="214">
        <v>1</v>
      </c>
      <c r="F14" s="209">
        <v>2</v>
      </c>
      <c r="G14" s="215">
        <v>19.63</v>
      </c>
      <c r="H14" s="211">
        <f t="shared" si="0"/>
        <v>39.26</v>
      </c>
    </row>
    <row r="15" spans="1:8" ht="25.5">
      <c r="A15" s="207">
        <v>7</v>
      </c>
      <c r="B15" s="213" t="s">
        <v>204</v>
      </c>
      <c r="C15" s="214" t="s">
        <v>201</v>
      </c>
      <c r="D15" s="214">
        <v>3</v>
      </c>
      <c r="E15" s="214">
        <v>3</v>
      </c>
      <c r="F15" s="209">
        <v>6</v>
      </c>
      <c r="G15" s="215">
        <v>5.35</v>
      </c>
      <c r="H15" s="211">
        <f t="shared" si="0"/>
        <v>32.1</v>
      </c>
    </row>
    <row r="16" spans="1:8" ht="90">
      <c r="A16" s="212">
        <v>8</v>
      </c>
      <c r="B16" s="217" t="s">
        <v>205</v>
      </c>
      <c r="C16" s="214" t="s">
        <v>197</v>
      </c>
      <c r="D16" s="214">
        <v>1</v>
      </c>
      <c r="E16" s="214">
        <v>0</v>
      </c>
      <c r="F16" s="209">
        <v>1</v>
      </c>
      <c r="G16" s="215">
        <v>20.23</v>
      </c>
      <c r="H16" s="211">
        <f t="shared" si="0"/>
        <v>20.23</v>
      </c>
    </row>
    <row r="17" spans="1:8" ht="38.25">
      <c r="A17" s="207">
        <v>9</v>
      </c>
      <c r="B17" s="213" t="s">
        <v>206</v>
      </c>
      <c r="C17" s="214" t="s">
        <v>197</v>
      </c>
      <c r="D17" s="214">
        <v>1</v>
      </c>
      <c r="E17" s="214">
        <v>0</v>
      </c>
      <c r="F17" s="209">
        <v>1</v>
      </c>
      <c r="G17" s="215">
        <v>45.73</v>
      </c>
      <c r="H17" s="211">
        <f t="shared" si="0"/>
        <v>45.73</v>
      </c>
    </row>
    <row r="18" spans="1:8" ht="15">
      <c r="A18" s="212">
        <v>10</v>
      </c>
      <c r="B18" s="213" t="s">
        <v>207</v>
      </c>
      <c r="C18" s="214" t="s">
        <v>197</v>
      </c>
      <c r="D18" s="214">
        <v>1</v>
      </c>
      <c r="E18" s="214">
        <v>0</v>
      </c>
      <c r="F18" s="209">
        <v>1</v>
      </c>
      <c r="G18" s="215">
        <v>5.31</v>
      </c>
      <c r="H18" s="211">
        <f t="shared" si="0"/>
        <v>5.31</v>
      </c>
    </row>
    <row r="19" spans="1:8" ht="15">
      <c r="A19" s="218" t="s">
        <v>208</v>
      </c>
      <c r="B19" s="219"/>
      <c r="C19" s="219"/>
      <c r="D19" s="219"/>
      <c r="E19" s="219"/>
      <c r="F19" s="220"/>
      <c r="G19" s="221"/>
      <c r="H19" s="222">
        <f>SUM(H9:H18)</f>
        <v>996.28</v>
      </c>
    </row>
    <row r="20" spans="1:8" ht="15">
      <c r="A20" s="218" t="s">
        <v>209</v>
      </c>
      <c r="B20" s="219"/>
      <c r="C20" s="219"/>
      <c r="D20" s="219"/>
      <c r="E20" s="219"/>
      <c r="F20" s="220"/>
      <c r="G20" s="221"/>
      <c r="H20" s="222">
        <f>H19/12</f>
        <v>83.0233333333333</v>
      </c>
    </row>
    <row r="23" spans="1:8" ht="15">
      <c r="A23" s="201" t="s">
        <v>210</v>
      </c>
      <c r="B23" s="202"/>
      <c r="C23" s="202"/>
      <c r="D23" s="202"/>
      <c r="E23" s="202"/>
      <c r="F23" s="202"/>
      <c r="G23" s="202"/>
      <c r="H23" s="203"/>
    </row>
    <row r="24" spans="1:8" ht="45">
      <c r="A24" s="204" t="s">
        <v>65</v>
      </c>
      <c r="B24" s="205" t="s">
        <v>191</v>
      </c>
      <c r="C24" s="205" t="s">
        <v>147</v>
      </c>
      <c r="D24" s="205" t="s">
        <v>192</v>
      </c>
      <c r="E24" s="205" t="s">
        <v>193</v>
      </c>
      <c r="F24" s="205" t="s">
        <v>194</v>
      </c>
      <c r="G24" s="205" t="s">
        <v>148</v>
      </c>
      <c r="H24" s="206" t="s">
        <v>195</v>
      </c>
    </row>
    <row r="25" spans="1:8" ht="114.75">
      <c r="A25" s="207">
        <v>1</v>
      </c>
      <c r="B25" s="208" t="s">
        <v>196</v>
      </c>
      <c r="C25" s="209" t="s">
        <v>197</v>
      </c>
      <c r="D25" s="209">
        <v>1</v>
      </c>
      <c r="E25" s="209">
        <v>0</v>
      </c>
      <c r="F25" s="209">
        <v>1</v>
      </c>
      <c r="G25" s="210">
        <v>74.67</v>
      </c>
      <c r="H25" s="211">
        <f>G25*F25</f>
        <v>74.67</v>
      </c>
    </row>
    <row r="26" spans="1:8" ht="25.5">
      <c r="A26" s="212">
        <v>2</v>
      </c>
      <c r="B26" s="213" t="s">
        <v>198</v>
      </c>
      <c r="C26" s="214" t="s">
        <v>197</v>
      </c>
      <c r="D26" s="214">
        <v>2</v>
      </c>
      <c r="E26" s="214">
        <v>2</v>
      </c>
      <c r="F26" s="209">
        <v>4</v>
      </c>
      <c r="G26" s="215">
        <v>53.67</v>
      </c>
      <c r="H26" s="211">
        <f aca="true" t="shared" si="1" ref="H26:H36">G26*F26</f>
        <v>214.68</v>
      </c>
    </row>
    <row r="27" spans="1:8" ht="38.25">
      <c r="A27" s="207">
        <v>3</v>
      </c>
      <c r="B27" s="213" t="s">
        <v>199</v>
      </c>
      <c r="C27" s="214" t="s">
        <v>197</v>
      </c>
      <c r="D27" s="214">
        <v>2</v>
      </c>
      <c r="E27" s="214">
        <v>2</v>
      </c>
      <c r="F27" s="209">
        <v>4</v>
      </c>
      <c r="G27" s="215">
        <v>84</v>
      </c>
      <c r="H27" s="211">
        <f t="shared" si="1"/>
        <v>336</v>
      </c>
    </row>
    <row r="28" spans="1:8" ht="15">
      <c r="A28" s="212">
        <v>4</v>
      </c>
      <c r="B28" s="213" t="s">
        <v>200</v>
      </c>
      <c r="C28" s="214" t="s">
        <v>201</v>
      </c>
      <c r="D28" s="214">
        <v>1</v>
      </c>
      <c r="E28" s="214">
        <v>1</v>
      </c>
      <c r="F28" s="209">
        <v>2</v>
      </c>
      <c r="G28" s="215">
        <v>101.36</v>
      </c>
      <c r="H28" s="211">
        <f t="shared" si="1"/>
        <v>202.72</v>
      </c>
    </row>
    <row r="29" spans="1:8" ht="15">
      <c r="A29" s="207">
        <v>5</v>
      </c>
      <c r="B29" s="213" t="s">
        <v>202</v>
      </c>
      <c r="C29" s="214" t="s">
        <v>197</v>
      </c>
      <c r="D29" s="214">
        <v>1</v>
      </c>
      <c r="E29" s="214">
        <v>1</v>
      </c>
      <c r="F29" s="209">
        <v>2</v>
      </c>
      <c r="G29" s="215">
        <v>12.79</v>
      </c>
      <c r="H29" s="211">
        <f t="shared" si="1"/>
        <v>25.58</v>
      </c>
    </row>
    <row r="30" spans="1:8" ht="45">
      <c r="A30" s="212">
        <v>6</v>
      </c>
      <c r="B30" s="216" t="s">
        <v>203</v>
      </c>
      <c r="C30" s="214" t="s">
        <v>197</v>
      </c>
      <c r="D30" s="214">
        <v>1</v>
      </c>
      <c r="E30" s="214">
        <v>1</v>
      </c>
      <c r="F30" s="209">
        <v>2</v>
      </c>
      <c r="G30" s="215">
        <v>19.63</v>
      </c>
      <c r="H30" s="211">
        <f t="shared" si="1"/>
        <v>39.26</v>
      </c>
    </row>
    <row r="31" spans="1:8" ht="25.5">
      <c r="A31" s="207">
        <v>7</v>
      </c>
      <c r="B31" s="213" t="s">
        <v>204</v>
      </c>
      <c r="C31" s="214" t="s">
        <v>201</v>
      </c>
      <c r="D31" s="214">
        <v>3</v>
      </c>
      <c r="E31" s="214">
        <v>3</v>
      </c>
      <c r="F31" s="209">
        <v>6</v>
      </c>
      <c r="G31" s="215">
        <v>5.35</v>
      </c>
      <c r="H31" s="211">
        <f t="shared" si="1"/>
        <v>32.1</v>
      </c>
    </row>
    <row r="32" spans="1:8" ht="195">
      <c r="A32" s="212">
        <v>8</v>
      </c>
      <c r="B32" s="217" t="s">
        <v>211</v>
      </c>
      <c r="C32" s="214" t="s">
        <v>197</v>
      </c>
      <c r="D32" s="214">
        <v>1</v>
      </c>
      <c r="E32" s="214">
        <v>0</v>
      </c>
      <c r="F32" s="209">
        <v>1</v>
      </c>
      <c r="G32" s="215">
        <v>20.23</v>
      </c>
      <c r="H32" s="211">
        <f t="shared" si="1"/>
        <v>20.23</v>
      </c>
    </row>
    <row r="33" spans="1:8" ht="38.25">
      <c r="A33" s="207">
        <v>9</v>
      </c>
      <c r="B33" s="213" t="s">
        <v>206</v>
      </c>
      <c r="C33" s="214" t="s">
        <v>197</v>
      </c>
      <c r="D33" s="214">
        <v>1</v>
      </c>
      <c r="E33" s="214">
        <v>0</v>
      </c>
      <c r="F33" s="209">
        <v>1</v>
      </c>
      <c r="G33" s="215">
        <v>45.73</v>
      </c>
      <c r="H33" s="211">
        <f t="shared" si="1"/>
        <v>45.73</v>
      </c>
    </row>
    <row r="34" spans="1:8" ht="15">
      <c r="A34" s="212">
        <v>10</v>
      </c>
      <c r="B34" s="213" t="s">
        <v>207</v>
      </c>
      <c r="C34" s="214" t="s">
        <v>197</v>
      </c>
      <c r="D34" s="214">
        <v>1</v>
      </c>
      <c r="E34" s="214">
        <v>0</v>
      </c>
      <c r="F34" s="209">
        <v>1</v>
      </c>
      <c r="G34" s="215">
        <v>5.31</v>
      </c>
      <c r="H34" s="211">
        <f t="shared" si="1"/>
        <v>5.31</v>
      </c>
    </row>
    <row r="35" spans="1:8" ht="15">
      <c r="A35" s="207">
        <v>11</v>
      </c>
      <c r="B35" s="213" t="s">
        <v>212</v>
      </c>
      <c r="C35" s="214" t="s">
        <v>197</v>
      </c>
      <c r="D35" s="214">
        <v>1</v>
      </c>
      <c r="E35" s="214">
        <v>0</v>
      </c>
      <c r="F35" s="209">
        <v>1</v>
      </c>
      <c r="G35" s="215">
        <v>596.35</v>
      </c>
      <c r="H35" s="211">
        <f t="shared" si="1"/>
        <v>596.35</v>
      </c>
    </row>
    <row r="36" spans="1:8" ht="15">
      <c r="A36" s="212">
        <v>12</v>
      </c>
      <c r="B36" s="213" t="s">
        <v>213</v>
      </c>
      <c r="C36" s="214" t="s">
        <v>201</v>
      </c>
      <c r="D36" s="214">
        <v>1</v>
      </c>
      <c r="E36" s="214">
        <v>1</v>
      </c>
      <c r="F36" s="209">
        <v>2</v>
      </c>
      <c r="G36" s="215">
        <v>185.55</v>
      </c>
      <c r="H36" s="211">
        <f t="shared" si="1"/>
        <v>371.1</v>
      </c>
    </row>
    <row r="37" spans="1:8" ht="15">
      <c r="A37" s="218" t="s">
        <v>208</v>
      </c>
      <c r="B37" s="219"/>
      <c r="C37" s="219"/>
      <c r="D37" s="219"/>
      <c r="E37" s="219"/>
      <c r="F37" s="220"/>
      <c r="G37" s="221"/>
      <c r="H37" s="222">
        <f>SUM(H25:H36)</f>
        <v>1963.73</v>
      </c>
    </row>
    <row r="38" spans="1:8" ht="15">
      <c r="A38" s="218" t="s">
        <v>209</v>
      </c>
      <c r="B38" s="219"/>
      <c r="C38" s="219"/>
      <c r="D38" s="219"/>
      <c r="E38" s="219"/>
      <c r="F38" s="220"/>
      <c r="G38" s="221"/>
      <c r="H38" s="222">
        <f>H37/12</f>
        <v>163.644166666667</v>
      </c>
    </row>
    <row r="41" spans="1:8" ht="15">
      <c r="A41" s="201" t="s">
        <v>214</v>
      </c>
      <c r="B41" s="202"/>
      <c r="C41" s="202"/>
      <c r="D41" s="202"/>
      <c r="E41" s="202"/>
      <c r="F41" s="202"/>
      <c r="G41" s="202"/>
      <c r="H41" s="203"/>
    </row>
    <row r="42" spans="1:8" ht="45">
      <c r="A42" s="204" t="s">
        <v>65</v>
      </c>
      <c r="B42" s="205" t="s">
        <v>191</v>
      </c>
      <c r="C42" s="205" t="s">
        <v>147</v>
      </c>
      <c r="D42" s="205" t="s">
        <v>192</v>
      </c>
      <c r="E42" s="205" t="s">
        <v>193</v>
      </c>
      <c r="F42" s="205" t="s">
        <v>194</v>
      </c>
      <c r="G42" s="205" t="s">
        <v>148</v>
      </c>
      <c r="H42" s="206" t="s">
        <v>195</v>
      </c>
    </row>
    <row r="43" spans="1:8" ht="45">
      <c r="A43" s="212">
        <v>1</v>
      </c>
      <c r="B43" s="216" t="s">
        <v>203</v>
      </c>
      <c r="C43" s="214" t="s">
        <v>197</v>
      </c>
      <c r="D43" s="214">
        <v>1</v>
      </c>
      <c r="E43" s="214">
        <v>1</v>
      </c>
      <c r="F43" s="209">
        <v>2</v>
      </c>
      <c r="G43" s="215">
        <v>19.63</v>
      </c>
      <c r="H43" s="223">
        <f>G43*F43</f>
        <v>39.26</v>
      </c>
    </row>
    <row r="44" spans="1:8" ht="25.5">
      <c r="A44" s="207">
        <v>2</v>
      </c>
      <c r="B44" s="213" t="s">
        <v>204</v>
      </c>
      <c r="C44" s="214" t="s">
        <v>201</v>
      </c>
      <c r="D44" s="214">
        <v>3</v>
      </c>
      <c r="E44" s="214">
        <v>3</v>
      </c>
      <c r="F44" s="209">
        <v>6</v>
      </c>
      <c r="G44" s="215">
        <v>5.35</v>
      </c>
      <c r="H44" s="223">
        <f aca="true" t="shared" si="2" ref="H44:H51">G44*F44</f>
        <v>32.1</v>
      </c>
    </row>
    <row r="45" spans="1:8" ht="195">
      <c r="A45" s="212">
        <v>3</v>
      </c>
      <c r="B45" s="217" t="s">
        <v>211</v>
      </c>
      <c r="C45" s="214" t="s">
        <v>197</v>
      </c>
      <c r="D45" s="214">
        <v>1</v>
      </c>
      <c r="E45" s="214">
        <v>0</v>
      </c>
      <c r="F45" s="209">
        <v>1</v>
      </c>
      <c r="G45" s="215">
        <v>20.23</v>
      </c>
      <c r="H45" s="223">
        <f t="shared" si="2"/>
        <v>20.23</v>
      </c>
    </row>
    <row r="46" spans="1:8" ht="38.25">
      <c r="A46" s="207">
        <v>4</v>
      </c>
      <c r="B46" s="213" t="s">
        <v>206</v>
      </c>
      <c r="C46" s="214" t="s">
        <v>197</v>
      </c>
      <c r="D46" s="214">
        <v>1</v>
      </c>
      <c r="E46" s="214">
        <v>0</v>
      </c>
      <c r="F46" s="209">
        <v>1</v>
      </c>
      <c r="G46" s="215">
        <v>45.73</v>
      </c>
      <c r="H46" s="223">
        <f t="shared" si="2"/>
        <v>45.73</v>
      </c>
    </row>
    <row r="47" spans="1:8" ht="15">
      <c r="A47" s="212">
        <v>5</v>
      </c>
      <c r="B47" s="213" t="s">
        <v>207</v>
      </c>
      <c r="C47" s="214" t="s">
        <v>197</v>
      </c>
      <c r="D47" s="214">
        <v>1</v>
      </c>
      <c r="E47" s="214">
        <v>0</v>
      </c>
      <c r="F47" s="209">
        <v>1</v>
      </c>
      <c r="G47" s="215">
        <v>5.31</v>
      </c>
      <c r="H47" s="223">
        <f t="shared" si="2"/>
        <v>5.31</v>
      </c>
    </row>
    <row r="48" spans="1:8" ht="38.25">
      <c r="A48" s="212">
        <v>6</v>
      </c>
      <c r="B48" s="213" t="s">
        <v>215</v>
      </c>
      <c r="C48" s="214" t="s">
        <v>197</v>
      </c>
      <c r="D48" s="214">
        <v>2</v>
      </c>
      <c r="E48" s="214">
        <v>2</v>
      </c>
      <c r="F48" s="209">
        <v>4</v>
      </c>
      <c r="G48" s="215">
        <v>49.17</v>
      </c>
      <c r="H48" s="223">
        <f t="shared" si="2"/>
        <v>196.68</v>
      </c>
    </row>
    <row r="49" spans="1:8" ht="38.25">
      <c r="A49" s="212">
        <v>7</v>
      </c>
      <c r="B49" s="213" t="s">
        <v>216</v>
      </c>
      <c r="C49" s="214" t="s">
        <v>197</v>
      </c>
      <c r="D49" s="214">
        <v>2</v>
      </c>
      <c r="E49" s="214">
        <v>2</v>
      </c>
      <c r="F49" s="209">
        <v>4</v>
      </c>
      <c r="G49" s="215">
        <v>35.67</v>
      </c>
      <c r="H49" s="223">
        <f t="shared" si="2"/>
        <v>142.68</v>
      </c>
    </row>
    <row r="50" spans="1:8" ht="15">
      <c r="A50" s="207">
        <v>8</v>
      </c>
      <c r="B50" s="216" t="s">
        <v>217</v>
      </c>
      <c r="C50" s="214" t="s">
        <v>201</v>
      </c>
      <c r="D50" s="214">
        <v>2</v>
      </c>
      <c r="E50" s="214">
        <v>1</v>
      </c>
      <c r="F50" s="209">
        <v>3</v>
      </c>
      <c r="G50" s="215">
        <v>72.45</v>
      </c>
      <c r="H50" s="223">
        <f t="shared" si="2"/>
        <v>217.35</v>
      </c>
    </row>
    <row r="51" spans="1:8" ht="33.75">
      <c r="A51" s="207">
        <v>9</v>
      </c>
      <c r="B51" s="216" t="s">
        <v>218</v>
      </c>
      <c r="C51" s="214" t="s">
        <v>197</v>
      </c>
      <c r="D51" s="214">
        <v>1</v>
      </c>
      <c r="E51" s="214">
        <v>1</v>
      </c>
      <c r="F51" s="209">
        <v>2</v>
      </c>
      <c r="G51" s="215">
        <v>177</v>
      </c>
      <c r="H51" s="223">
        <f t="shared" si="2"/>
        <v>354</v>
      </c>
    </row>
    <row r="52" spans="1:8" ht="14.4" customHeight="1">
      <c r="A52" s="224" t="s">
        <v>208</v>
      </c>
      <c r="B52" s="225"/>
      <c r="C52" s="225"/>
      <c r="D52" s="225"/>
      <c r="E52" s="225"/>
      <c r="F52" s="226"/>
      <c r="G52" s="227"/>
      <c r="H52" s="228">
        <f>SUM(H43:H51)</f>
        <v>1053.34</v>
      </c>
    </row>
    <row r="53" spans="1:8" ht="15">
      <c r="A53" s="218" t="s">
        <v>209</v>
      </c>
      <c r="B53" s="219"/>
      <c r="C53" s="219"/>
      <c r="D53" s="219"/>
      <c r="E53" s="219"/>
      <c r="F53" s="220"/>
      <c r="G53" s="221"/>
      <c r="H53" s="222">
        <f>H52/12</f>
        <v>87.7783333333334</v>
      </c>
    </row>
  </sheetData>
  <mergeCells count="13">
    <mergeCell ref="A1:H1"/>
    <mergeCell ref="A2:H2"/>
    <mergeCell ref="A4:H4"/>
    <mergeCell ref="A5:H5"/>
    <mergeCell ref="A7:H7"/>
    <mergeCell ref="A19:F19"/>
    <mergeCell ref="A20:F20"/>
    <mergeCell ref="A23:H23"/>
    <mergeCell ref="A37:F37"/>
    <mergeCell ref="A38:F38"/>
    <mergeCell ref="A41:H41"/>
    <mergeCell ref="A52:F52"/>
    <mergeCell ref="A53:F53"/>
  </mergeCells>
  <printOptions/>
  <pageMargins left="0.511811024" right="0.511811024" top="0.787401575" bottom="0.787401575" header="0.31496062" footer="0.31496062"/>
  <pageSetup horizontalDpi="600" verticalDpi="600" orientation="landscape" paperSize="9" scale="93"/>
  <headerFooter>
    <oddHeader>&amp;L&amp;G&amp;CProcesso 23069.167552/2021-41
PE 88/2021&amp;R&amp;G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57"/>
  <sheetViews>
    <sheetView workbookViewId="0" topLeftCell="A1">
      <selection activeCell="C13" sqref="C13:E13"/>
    </sheetView>
  </sheetViews>
  <sheetFormatPr defaultColWidth="8.8515625" defaultRowHeight="15" outlineLevelCol="7"/>
  <cols>
    <col min="2" max="2" width="64.57421875" style="0" customWidth="1"/>
    <col min="3" max="3" width="16.28125" style="0" customWidth="1"/>
    <col min="4" max="4" width="10.7109375" style="0" customWidth="1"/>
    <col min="5" max="5" width="12.8515625" style="0" customWidth="1"/>
    <col min="6" max="6" width="14.00390625" style="0" customWidth="1"/>
    <col min="7" max="7" width="10.8515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8"/>
      <c r="G1" s="28"/>
    </row>
    <row r="2" spans="1:7" ht="18.75">
      <c r="A2" s="2" t="s">
        <v>1</v>
      </c>
      <c r="B2" s="2"/>
      <c r="C2" s="2"/>
      <c r="D2" s="2"/>
      <c r="E2" s="2"/>
      <c r="F2" s="29"/>
      <c r="G2" s="29"/>
    </row>
    <row r="4" spans="1:8" ht="14.4" customHeight="1">
      <c r="A4" s="30" t="s">
        <v>219</v>
      </c>
      <c r="B4" s="30"/>
      <c r="C4" s="30"/>
      <c r="D4" s="30"/>
      <c r="E4" s="30"/>
      <c r="F4" s="31"/>
      <c r="G4" s="31"/>
      <c r="H4" s="4"/>
    </row>
    <row r="5" spans="1:8" ht="38.4" customHeight="1">
      <c r="A5" s="32" t="s">
        <v>5</v>
      </c>
      <c r="B5" s="32"/>
      <c r="C5" s="32"/>
      <c r="D5" s="32"/>
      <c r="E5" s="32"/>
      <c r="F5" s="33"/>
      <c r="G5" s="33"/>
      <c r="H5" s="6"/>
    </row>
    <row r="7" spans="1:5" ht="15">
      <c r="A7" s="34"/>
      <c r="B7" s="35" t="s">
        <v>220</v>
      </c>
      <c r="C7" s="35"/>
      <c r="D7" s="35"/>
      <c r="E7" s="35"/>
    </row>
    <row r="8" spans="1:5" ht="15">
      <c r="A8" s="34"/>
      <c r="B8" s="34"/>
      <c r="C8" s="34"/>
      <c r="D8" s="34"/>
      <c r="E8" s="34"/>
    </row>
    <row r="9" spans="1:5" ht="15">
      <c r="A9" s="34"/>
      <c r="B9" s="36" t="s">
        <v>221</v>
      </c>
      <c r="C9" s="36"/>
      <c r="D9" s="36"/>
      <c r="E9" s="36"/>
    </row>
    <row r="10" spans="1:5" ht="15.75">
      <c r="A10" s="34"/>
      <c r="B10" s="37" t="s">
        <v>222</v>
      </c>
      <c r="C10" s="38"/>
      <c r="D10" s="38"/>
      <c r="E10" s="38"/>
    </row>
    <row r="11" spans="1:5" ht="15">
      <c r="A11" s="34"/>
      <c r="B11" s="39" t="s">
        <v>223</v>
      </c>
      <c r="C11" s="40" t="s">
        <v>224</v>
      </c>
      <c r="D11" s="41"/>
      <c r="E11" s="42"/>
    </row>
    <row r="12" spans="1:5" ht="15">
      <c r="A12" s="34"/>
      <c r="B12" s="43" t="s">
        <v>225</v>
      </c>
      <c r="C12" s="44">
        <v>15.21</v>
      </c>
      <c r="D12" s="45"/>
      <c r="E12" s="46"/>
    </row>
    <row r="13" spans="1:5" ht="15">
      <c r="A13" s="34"/>
      <c r="B13" s="43" t="s">
        <v>226</v>
      </c>
      <c r="C13" s="47" t="s">
        <v>227</v>
      </c>
      <c r="D13" s="48"/>
      <c r="E13" s="49"/>
    </row>
    <row r="14" spans="1:5" ht="15">
      <c r="A14" s="34"/>
      <c r="B14" s="43" t="s">
        <v>228</v>
      </c>
      <c r="C14" s="50">
        <v>1508.9</v>
      </c>
      <c r="D14" s="51"/>
      <c r="E14" s="52"/>
    </row>
    <row r="15" spans="1:5" ht="15">
      <c r="A15" s="34"/>
      <c r="B15" s="43" t="s">
        <v>229</v>
      </c>
      <c r="C15" s="44" t="s">
        <v>230</v>
      </c>
      <c r="D15" s="45"/>
      <c r="E15" s="46"/>
    </row>
    <row r="16" spans="1:5" ht="15">
      <c r="A16" s="34"/>
      <c r="B16" s="43" t="s">
        <v>231</v>
      </c>
      <c r="C16" s="53">
        <v>22</v>
      </c>
      <c r="D16" s="54"/>
      <c r="E16" s="55"/>
    </row>
    <row r="17" spans="1:5" ht="15">
      <c r="A17" s="34"/>
      <c r="B17" s="43" t="s">
        <v>232</v>
      </c>
      <c r="C17" s="56">
        <v>43831</v>
      </c>
      <c r="D17" s="57"/>
      <c r="E17" s="58"/>
    </row>
    <row r="18" spans="1:5" ht="15.75">
      <c r="A18" s="34"/>
      <c r="B18" s="59" t="s">
        <v>233</v>
      </c>
      <c r="C18" s="60" t="s">
        <v>234</v>
      </c>
      <c r="D18" s="61"/>
      <c r="E18" s="62"/>
    </row>
    <row r="19" spans="1:5" ht="15">
      <c r="A19" s="34"/>
      <c r="B19" s="34"/>
      <c r="C19" s="63"/>
      <c r="D19" s="64"/>
      <c r="E19" s="64"/>
    </row>
    <row r="20" spans="1:5" ht="15.75">
      <c r="A20" s="34"/>
      <c r="B20" s="34"/>
      <c r="C20" s="64"/>
      <c r="D20" s="64"/>
      <c r="E20" s="64"/>
    </row>
    <row r="21" spans="1:5" ht="15">
      <c r="A21" s="65" t="s">
        <v>235</v>
      </c>
      <c r="B21" s="65"/>
      <c r="C21" s="65"/>
      <c r="D21" s="64"/>
      <c r="E21" s="64"/>
    </row>
    <row r="22" spans="1:5" ht="15">
      <c r="A22" s="66">
        <v>1</v>
      </c>
      <c r="B22" s="67" t="s">
        <v>236</v>
      </c>
      <c r="C22" s="68" t="s">
        <v>237</v>
      </c>
      <c r="D22" s="64"/>
      <c r="E22" s="64"/>
    </row>
    <row r="23" spans="1:5" ht="15">
      <c r="A23" s="69" t="s">
        <v>238</v>
      </c>
      <c r="B23" s="70" t="s">
        <v>239</v>
      </c>
      <c r="C23" s="71">
        <f>C14</f>
        <v>1508.9</v>
      </c>
      <c r="D23" s="64"/>
      <c r="E23" s="64"/>
    </row>
    <row r="24" spans="1:5" ht="15">
      <c r="A24" s="69" t="s">
        <v>240</v>
      </c>
      <c r="B24" s="70" t="s">
        <v>241</v>
      </c>
      <c r="C24" s="72">
        <f>30%*C23</f>
        <v>452.67</v>
      </c>
      <c r="D24" s="64"/>
      <c r="E24" s="64"/>
    </row>
    <row r="25" spans="1:5" ht="15">
      <c r="A25" s="69" t="s">
        <v>242</v>
      </c>
      <c r="B25" s="70" t="s">
        <v>243</v>
      </c>
      <c r="C25" s="72"/>
      <c r="D25" s="64"/>
      <c r="E25" s="34"/>
    </row>
    <row r="26" spans="1:5" ht="15">
      <c r="A26" s="69" t="s">
        <v>244</v>
      </c>
      <c r="B26" s="73" t="s">
        <v>245</v>
      </c>
      <c r="C26" s="72"/>
      <c r="D26" s="64"/>
      <c r="E26" s="34"/>
    </row>
    <row r="27" spans="1:5" ht="15">
      <c r="A27" s="69" t="s">
        <v>246</v>
      </c>
      <c r="B27" s="73" t="s">
        <v>247</v>
      </c>
      <c r="C27" s="72"/>
      <c r="D27" s="64"/>
      <c r="E27" s="34"/>
    </row>
    <row r="28" spans="1:5" ht="15">
      <c r="A28" s="69" t="s">
        <v>248</v>
      </c>
      <c r="B28" s="74" t="s">
        <v>249</v>
      </c>
      <c r="C28" s="75"/>
      <c r="D28" s="64"/>
      <c r="E28" s="34"/>
    </row>
    <row r="29" spans="1:5" ht="15.75">
      <c r="A29" s="76"/>
      <c r="B29" s="77" t="s">
        <v>250</v>
      </c>
      <c r="C29" s="78">
        <f>SUM(C23:C28)</f>
        <v>1961.57</v>
      </c>
      <c r="D29" s="64"/>
      <c r="E29" s="34"/>
    </row>
    <row r="30" spans="1:5" ht="15.75">
      <c r="A30" s="34"/>
      <c r="B30" s="79"/>
      <c r="C30" s="79"/>
      <c r="D30" s="79"/>
      <c r="E30" s="64"/>
    </row>
    <row r="31" spans="1:5" ht="15">
      <c r="A31" s="80"/>
      <c r="B31" s="81" t="s">
        <v>251</v>
      </c>
      <c r="C31" s="81"/>
      <c r="D31" s="64"/>
      <c r="E31" s="34"/>
    </row>
    <row r="32" spans="1:5" ht="15">
      <c r="A32" s="82"/>
      <c r="B32" s="83" t="s">
        <v>252</v>
      </c>
      <c r="C32" s="83"/>
      <c r="D32" s="64"/>
      <c r="E32" s="34"/>
    </row>
    <row r="33" spans="1:5" ht="15">
      <c r="A33" s="66" t="s">
        <v>253</v>
      </c>
      <c r="B33" s="84" t="s">
        <v>254</v>
      </c>
      <c r="C33" s="68" t="s">
        <v>255</v>
      </c>
      <c r="D33" s="64"/>
      <c r="E33" s="34"/>
    </row>
    <row r="34" spans="1:5" ht="15">
      <c r="A34" s="69" t="s">
        <v>238</v>
      </c>
      <c r="B34" s="85" t="s">
        <v>256</v>
      </c>
      <c r="C34" s="86">
        <f>C29*8.33%</f>
        <v>163.398781</v>
      </c>
      <c r="D34" s="64"/>
      <c r="E34" s="34"/>
    </row>
    <row r="35" spans="1:5" ht="15">
      <c r="A35" s="69" t="s">
        <v>240</v>
      </c>
      <c r="B35" s="85" t="s">
        <v>257</v>
      </c>
      <c r="C35" s="86">
        <f>C29*12.1%</f>
        <v>237.34997</v>
      </c>
      <c r="D35" s="87"/>
      <c r="E35" s="34"/>
    </row>
    <row r="36" spans="1:5" ht="15">
      <c r="A36" s="88"/>
      <c r="B36" s="89" t="s">
        <v>258</v>
      </c>
      <c r="C36" s="90">
        <f>SUM(C34:C35)</f>
        <v>400.748751</v>
      </c>
      <c r="D36" s="91"/>
      <c r="E36" s="34"/>
    </row>
    <row r="37" spans="1:5" ht="36">
      <c r="A37" s="92" t="s">
        <v>242</v>
      </c>
      <c r="B37" s="93" t="s">
        <v>259</v>
      </c>
      <c r="C37" s="94">
        <f>C29*7.82%</f>
        <v>153.394774</v>
      </c>
      <c r="D37" s="91"/>
      <c r="E37" s="34"/>
    </row>
    <row r="38" spans="1:5" ht="15.75">
      <c r="A38" s="34"/>
      <c r="B38" s="34"/>
      <c r="C38" s="34"/>
      <c r="D38" s="34"/>
      <c r="E38" s="64"/>
    </row>
    <row r="39" spans="1:5" ht="15.75">
      <c r="A39" s="95" t="s">
        <v>260</v>
      </c>
      <c r="B39" s="95"/>
      <c r="C39" s="95"/>
      <c r="D39" s="95"/>
      <c r="E39" s="64"/>
    </row>
    <row r="40" spans="1:5" ht="15.75">
      <c r="A40" s="96" t="s">
        <v>261</v>
      </c>
      <c r="B40" s="97" t="s">
        <v>262</v>
      </c>
      <c r="C40" s="98" t="s">
        <v>263</v>
      </c>
      <c r="D40" s="99" t="s">
        <v>237</v>
      </c>
      <c r="E40" s="64"/>
    </row>
    <row r="41" spans="1:5" ht="15.75">
      <c r="A41" s="100" t="s">
        <v>238</v>
      </c>
      <c r="B41" s="101" t="s">
        <v>264</v>
      </c>
      <c r="C41" s="102">
        <v>20</v>
      </c>
      <c r="D41" s="103">
        <f>(C$29*(C41/100))</f>
        <v>392.314</v>
      </c>
      <c r="E41" s="64"/>
    </row>
    <row r="42" spans="1:5" ht="15.75">
      <c r="A42" s="100" t="s">
        <v>240</v>
      </c>
      <c r="B42" s="104" t="s">
        <v>265</v>
      </c>
      <c r="C42" s="105">
        <v>2.5</v>
      </c>
      <c r="D42" s="103">
        <f aca="true" t="shared" si="0" ref="D42:D48">(C$29*(C42/100))</f>
        <v>49.03925</v>
      </c>
      <c r="E42" s="64"/>
    </row>
    <row r="43" spans="1:5" ht="15.75">
      <c r="A43" s="100" t="s">
        <v>242</v>
      </c>
      <c r="B43" s="106" t="s">
        <v>266</v>
      </c>
      <c r="C43" s="107">
        <v>6</v>
      </c>
      <c r="D43" s="103">
        <f t="shared" si="0"/>
        <v>117.6942</v>
      </c>
      <c r="E43" s="64"/>
    </row>
    <row r="44" spans="1:5" ht="15.75">
      <c r="A44" s="100" t="s">
        <v>244</v>
      </c>
      <c r="B44" s="104" t="s">
        <v>267</v>
      </c>
      <c r="C44" s="105">
        <v>1.5</v>
      </c>
      <c r="D44" s="103">
        <f t="shared" si="0"/>
        <v>29.42355</v>
      </c>
      <c r="E44" s="64"/>
    </row>
    <row r="45" spans="1:5" ht="15.75">
      <c r="A45" s="100" t="s">
        <v>246</v>
      </c>
      <c r="B45" s="104" t="s">
        <v>268</v>
      </c>
      <c r="C45" s="105">
        <v>1</v>
      </c>
      <c r="D45" s="103">
        <f t="shared" si="0"/>
        <v>19.6157</v>
      </c>
      <c r="E45" s="64"/>
    </row>
    <row r="46" spans="1:5" ht="15.75">
      <c r="A46" s="100" t="s">
        <v>248</v>
      </c>
      <c r="B46" s="104" t="s">
        <v>269</v>
      </c>
      <c r="C46" s="105">
        <v>0.6</v>
      </c>
      <c r="D46" s="103">
        <f t="shared" si="0"/>
        <v>11.76942</v>
      </c>
      <c r="E46" s="64"/>
    </row>
    <row r="47" spans="1:5" ht="15.75">
      <c r="A47" s="100" t="s">
        <v>270</v>
      </c>
      <c r="B47" s="104" t="s">
        <v>271</v>
      </c>
      <c r="C47" s="105">
        <v>0.2</v>
      </c>
      <c r="D47" s="103">
        <f t="shared" si="0"/>
        <v>3.92314</v>
      </c>
      <c r="E47" s="64"/>
    </row>
    <row r="48" spans="1:5" ht="15">
      <c r="A48" s="100" t="s">
        <v>272</v>
      </c>
      <c r="B48" s="106" t="s">
        <v>273</v>
      </c>
      <c r="C48" s="107">
        <v>8</v>
      </c>
      <c r="D48" s="103">
        <f t="shared" si="0"/>
        <v>156.9256</v>
      </c>
      <c r="E48" s="64"/>
    </row>
    <row r="49" spans="1:5" ht="15.75">
      <c r="A49" s="108"/>
      <c r="B49" s="109" t="s">
        <v>81</v>
      </c>
      <c r="C49" s="110">
        <f>SUM(C41:C48)</f>
        <v>39.8</v>
      </c>
      <c r="D49" s="111">
        <f>SUM(D41:D48)</f>
        <v>780.70486</v>
      </c>
      <c r="E49" s="64"/>
    </row>
    <row r="50" spans="1:5" ht="15">
      <c r="A50" s="112"/>
      <c r="B50" s="113" t="s">
        <v>274</v>
      </c>
      <c r="C50" s="112"/>
      <c r="D50" s="112"/>
      <c r="E50" s="64"/>
    </row>
    <row r="51" spans="1:5" ht="15.75">
      <c r="A51" s="112"/>
      <c r="B51" s="113"/>
      <c r="C51" s="112"/>
      <c r="D51" s="112"/>
      <c r="E51" s="64"/>
    </row>
    <row r="52" spans="1:5" ht="15">
      <c r="A52" s="114"/>
      <c r="B52" s="115" t="s">
        <v>275</v>
      </c>
      <c r="C52" s="116"/>
      <c r="D52" s="64"/>
      <c r="E52" s="34"/>
    </row>
    <row r="53" spans="1:5" ht="15">
      <c r="A53" s="66" t="s">
        <v>276</v>
      </c>
      <c r="B53" s="67" t="s">
        <v>277</v>
      </c>
      <c r="C53" s="68" t="s">
        <v>237</v>
      </c>
      <c r="D53" s="64"/>
      <c r="E53" s="34"/>
    </row>
    <row r="54" spans="1:5" ht="15">
      <c r="A54" s="69" t="s">
        <v>238</v>
      </c>
      <c r="B54" s="117" t="s">
        <v>278</v>
      </c>
      <c r="C54" s="72">
        <f>(4.05*4*C12)-6%*C14</f>
        <v>155.868</v>
      </c>
      <c r="D54" s="64"/>
      <c r="E54" s="34"/>
    </row>
    <row r="55" spans="1:5" ht="15">
      <c r="A55" s="69" t="s">
        <v>240</v>
      </c>
      <c r="B55" s="70" t="s">
        <v>279</v>
      </c>
      <c r="C55" s="72">
        <f>((29*C12)-(29*C12*10%))</f>
        <v>396.981</v>
      </c>
      <c r="D55" s="64"/>
      <c r="E55" s="34"/>
    </row>
    <row r="56" spans="1:5" ht="15">
      <c r="A56" s="69" t="s">
        <v>242</v>
      </c>
      <c r="B56" s="70" t="s">
        <v>280</v>
      </c>
      <c r="C56" s="72"/>
      <c r="D56" s="64"/>
      <c r="E56" s="34"/>
    </row>
    <row r="57" spans="1:5" ht="15">
      <c r="A57" s="69" t="s">
        <v>281</v>
      </c>
      <c r="B57" s="70" t="s">
        <v>282</v>
      </c>
      <c r="C57" s="72">
        <v>27</v>
      </c>
      <c r="D57" s="64"/>
      <c r="E57" s="34"/>
    </row>
    <row r="58" spans="1:5" ht="15">
      <c r="A58" s="88" t="s">
        <v>283</v>
      </c>
      <c r="B58" s="118" t="s">
        <v>284</v>
      </c>
      <c r="C58" s="119"/>
      <c r="D58" s="64"/>
      <c r="E58" s="34"/>
    </row>
    <row r="59" spans="1:5" ht="15.75">
      <c r="A59" s="76"/>
      <c r="B59" s="77" t="s">
        <v>285</v>
      </c>
      <c r="C59" s="78">
        <f>SUM(C54:C58)</f>
        <v>579.849</v>
      </c>
      <c r="D59" s="64"/>
      <c r="E59" s="34"/>
    </row>
    <row r="60" spans="1:5" ht="15.75">
      <c r="A60" s="112"/>
      <c r="B60" s="120"/>
      <c r="C60" s="121"/>
      <c r="D60" s="122"/>
      <c r="E60" s="64"/>
    </row>
    <row r="61" spans="1:5" ht="15">
      <c r="A61" s="114"/>
      <c r="B61" s="123" t="s">
        <v>286</v>
      </c>
      <c r="C61" s="124"/>
      <c r="D61" s="64"/>
      <c r="E61" s="34"/>
    </row>
    <row r="62" spans="1:5" ht="15">
      <c r="A62" s="69">
        <v>2</v>
      </c>
      <c r="B62" s="125" t="s">
        <v>287</v>
      </c>
      <c r="C62" s="126" t="s">
        <v>255</v>
      </c>
      <c r="D62" s="64"/>
      <c r="E62" s="34"/>
    </row>
    <row r="63" spans="1:5" ht="15">
      <c r="A63" s="69" t="s">
        <v>253</v>
      </c>
      <c r="B63" s="70" t="s">
        <v>254</v>
      </c>
      <c r="C63" s="71">
        <f>C36</f>
        <v>400.748751</v>
      </c>
      <c r="D63" s="64"/>
      <c r="E63" s="34"/>
    </row>
    <row r="64" spans="1:5" ht="15">
      <c r="A64" s="69" t="s">
        <v>261</v>
      </c>
      <c r="B64" s="70" t="s">
        <v>262</v>
      </c>
      <c r="C64" s="71">
        <f>D49+C37</f>
        <v>934.099634</v>
      </c>
      <c r="D64" s="64"/>
      <c r="E64" s="34"/>
    </row>
    <row r="65" spans="1:5" ht="15">
      <c r="A65" s="69" t="s">
        <v>276</v>
      </c>
      <c r="B65" s="70" t="s">
        <v>277</v>
      </c>
      <c r="C65" s="71">
        <f>C59</f>
        <v>579.849</v>
      </c>
      <c r="D65" s="64"/>
      <c r="E65" s="34"/>
    </row>
    <row r="66" spans="1:5" ht="15.75">
      <c r="A66" s="76"/>
      <c r="B66" s="127" t="s">
        <v>258</v>
      </c>
      <c r="C66" s="78">
        <f>SUM(C63:C65)</f>
        <v>1914.697385</v>
      </c>
      <c r="D66" s="64"/>
      <c r="E66" s="34"/>
    </row>
    <row r="67" spans="1:5" ht="15.75">
      <c r="A67" s="34"/>
      <c r="B67" s="128"/>
      <c r="C67" s="122"/>
      <c r="D67" s="122"/>
      <c r="E67" s="64"/>
    </row>
    <row r="68" spans="1:5" ht="15">
      <c r="A68" s="129"/>
      <c r="B68" s="130" t="s">
        <v>288</v>
      </c>
      <c r="C68" s="131"/>
      <c r="D68" s="64"/>
      <c r="E68" s="34"/>
    </row>
    <row r="69" spans="1:5" ht="15">
      <c r="A69" s="132">
        <v>3</v>
      </c>
      <c r="B69" s="133" t="s">
        <v>289</v>
      </c>
      <c r="C69" s="134" t="s">
        <v>237</v>
      </c>
      <c r="D69" s="64"/>
      <c r="E69" s="34"/>
    </row>
    <row r="70" spans="1:5" ht="15">
      <c r="A70" s="135" t="s">
        <v>238</v>
      </c>
      <c r="B70" s="136" t="s">
        <v>290</v>
      </c>
      <c r="C70" s="137">
        <f>((C29+C34+C35)/12)*5%</f>
        <v>9.84299479583333</v>
      </c>
      <c r="D70" s="64"/>
      <c r="E70" s="34"/>
    </row>
    <row r="71" spans="1:5" ht="15">
      <c r="A71" s="135" t="s">
        <v>240</v>
      </c>
      <c r="B71" s="136" t="s">
        <v>291</v>
      </c>
      <c r="C71" s="138">
        <f>((C29+C34)/12)*5%*8%</f>
        <v>0.708322927</v>
      </c>
      <c r="D71" s="64"/>
      <c r="E71" s="34"/>
    </row>
    <row r="72" spans="1:5" ht="15">
      <c r="A72" s="135" t="s">
        <v>242</v>
      </c>
      <c r="B72" s="136" t="s">
        <v>292</v>
      </c>
      <c r="C72" s="138">
        <v>0</v>
      </c>
      <c r="D72" s="64"/>
      <c r="E72" s="34"/>
    </row>
    <row r="73" spans="1:5" ht="15">
      <c r="A73" s="135" t="s">
        <v>244</v>
      </c>
      <c r="B73" s="136" t="s">
        <v>293</v>
      </c>
      <c r="C73" s="138">
        <f>(((C29+C56)/30/12)*7)</f>
        <v>38.1416388888889</v>
      </c>
      <c r="D73" s="64"/>
      <c r="E73" s="34"/>
    </row>
    <row r="74" spans="1:5" ht="15">
      <c r="A74" s="135" t="s">
        <v>246</v>
      </c>
      <c r="B74" s="136" t="s">
        <v>294</v>
      </c>
      <c r="C74" s="139">
        <f>(C29/30/12*7)*8%</f>
        <v>3.05133111111111</v>
      </c>
      <c r="D74" s="64"/>
      <c r="E74" s="34"/>
    </row>
    <row r="75" spans="1:5" ht="15">
      <c r="A75" s="135" t="s">
        <v>248</v>
      </c>
      <c r="B75" s="136" t="s">
        <v>295</v>
      </c>
      <c r="C75" s="138">
        <f>C29*4%</f>
        <v>78.4628</v>
      </c>
      <c r="D75" s="64"/>
      <c r="E75" s="34"/>
    </row>
    <row r="76" spans="1:5" ht="15">
      <c r="A76" s="140"/>
      <c r="B76" s="133" t="s">
        <v>81</v>
      </c>
      <c r="C76" s="141">
        <f>SUM(C70:C75)</f>
        <v>130.207087722833</v>
      </c>
      <c r="D76" s="64"/>
      <c r="E76" s="34"/>
    </row>
    <row r="77" spans="1:5" ht="15.75">
      <c r="A77" s="34"/>
      <c r="B77" s="34"/>
      <c r="C77" s="34"/>
      <c r="D77" s="34"/>
      <c r="E77" s="64"/>
    </row>
    <row r="78" spans="1:5" ht="15">
      <c r="A78" s="80"/>
      <c r="B78" s="142" t="s">
        <v>296</v>
      </c>
      <c r="C78" s="143"/>
      <c r="D78" s="144"/>
      <c r="E78" s="34"/>
    </row>
    <row r="79" spans="1:5" ht="15">
      <c r="A79" s="82"/>
      <c r="B79" s="125" t="s">
        <v>297</v>
      </c>
      <c r="C79" s="68"/>
      <c r="D79" s="64"/>
      <c r="E79" s="34"/>
    </row>
    <row r="80" spans="1:5" ht="15">
      <c r="A80" s="66" t="s">
        <v>298</v>
      </c>
      <c r="B80" s="145" t="s">
        <v>299</v>
      </c>
      <c r="C80" s="146" t="s">
        <v>237</v>
      </c>
      <c r="D80" s="64"/>
      <c r="E80" s="34"/>
    </row>
    <row r="81" spans="1:5" ht="15">
      <c r="A81" s="69" t="s">
        <v>238</v>
      </c>
      <c r="B81" s="147" t="s">
        <v>300</v>
      </c>
      <c r="C81" s="148">
        <v>0</v>
      </c>
      <c r="D81" s="64"/>
      <c r="E81" s="34"/>
    </row>
    <row r="82" spans="1:5" ht="15">
      <c r="A82" s="69" t="s">
        <v>240</v>
      </c>
      <c r="B82" s="147" t="s">
        <v>301</v>
      </c>
      <c r="C82" s="148">
        <f>(((C29+C66+C76+C85+C106)-(C54-C55-C103-C104))/30*2.96)/12</f>
        <v>38.8468672517139</v>
      </c>
      <c r="D82" s="64"/>
      <c r="E82" s="34"/>
    </row>
    <row r="83" spans="1:5" ht="15">
      <c r="A83" s="69" t="s">
        <v>242</v>
      </c>
      <c r="B83" s="147" t="s">
        <v>302</v>
      </c>
      <c r="C83" s="148">
        <f>(((C29+C66+C76+C85+C106)-(C54-C55-C103-C104))/30*5*1.5%)/12</f>
        <v>0.984295622931939</v>
      </c>
      <c r="D83" s="64"/>
      <c r="E83" s="34"/>
    </row>
    <row r="84" spans="1:5" ht="15">
      <c r="A84" s="69" t="s">
        <v>244</v>
      </c>
      <c r="B84" s="147" t="s">
        <v>303</v>
      </c>
      <c r="C84" s="148">
        <f>(((C29+C66+C76+C85+C106)-(C54-C55-C103-C104))/30*15*0.78%)/12</f>
        <v>1.53550117177383</v>
      </c>
      <c r="D84" s="64"/>
      <c r="E84" s="34"/>
    </row>
    <row r="85" spans="1:5" ht="15">
      <c r="A85" s="69" t="s">
        <v>246</v>
      </c>
      <c r="B85" s="147" t="s">
        <v>304</v>
      </c>
      <c r="C85" s="148">
        <f>(((C35*3.95/12)+(C56*3.95*1.02%))/12+((C29+C34)*39.8%*3.95)*1.02%/12)</f>
        <v>9.35020544571303</v>
      </c>
      <c r="D85" s="91"/>
      <c r="E85" s="34"/>
    </row>
    <row r="86" spans="1:5" ht="15">
      <c r="A86" s="69" t="s">
        <v>248</v>
      </c>
      <c r="B86" s="149" t="s">
        <v>305</v>
      </c>
      <c r="C86" s="148">
        <v>0</v>
      </c>
      <c r="D86" s="64"/>
      <c r="E86" s="34"/>
    </row>
    <row r="87" spans="1:5" ht="15.75">
      <c r="A87" s="76"/>
      <c r="B87" s="150" t="s">
        <v>81</v>
      </c>
      <c r="C87" s="111">
        <f>SUM(C81:C86)</f>
        <v>50.7168694921327</v>
      </c>
      <c r="D87" s="64"/>
      <c r="E87" s="34"/>
    </row>
    <row r="88" spans="1:5" ht="15.75">
      <c r="A88" s="112"/>
      <c r="B88" s="112"/>
      <c r="C88" s="112"/>
      <c r="D88" s="34"/>
      <c r="E88" s="64"/>
    </row>
    <row r="89" spans="1:5" ht="15">
      <c r="A89" s="151"/>
      <c r="B89" s="152" t="s">
        <v>306</v>
      </c>
      <c r="C89" s="152"/>
      <c r="D89" s="64"/>
      <c r="E89" s="34"/>
    </row>
    <row r="90" spans="1:5" ht="15">
      <c r="A90" s="66" t="s">
        <v>307</v>
      </c>
      <c r="B90" s="145" t="s">
        <v>308</v>
      </c>
      <c r="C90" s="146" t="s">
        <v>237</v>
      </c>
      <c r="D90" s="64"/>
      <c r="E90" s="34"/>
    </row>
    <row r="91" spans="1:5" ht="15">
      <c r="A91" s="69" t="s">
        <v>238</v>
      </c>
      <c r="B91" s="153" t="s">
        <v>309</v>
      </c>
      <c r="C91" s="154">
        <v>0</v>
      </c>
      <c r="D91" s="64"/>
      <c r="E91" s="34"/>
    </row>
    <row r="92" spans="1:5" ht="15.75">
      <c r="A92" s="155"/>
      <c r="B92" s="150" t="s">
        <v>81</v>
      </c>
      <c r="C92" s="156">
        <v>0</v>
      </c>
      <c r="D92" s="157"/>
      <c r="E92" s="34"/>
    </row>
    <row r="93" spans="1:5" ht="15.75">
      <c r="A93" s="112"/>
      <c r="B93" s="112"/>
      <c r="C93" s="112"/>
      <c r="D93" s="34"/>
      <c r="E93" s="64"/>
    </row>
    <row r="94" spans="1:5" ht="15">
      <c r="A94" s="114"/>
      <c r="B94" s="123" t="s">
        <v>310</v>
      </c>
      <c r="C94" s="124"/>
      <c r="D94" s="64"/>
      <c r="E94" s="34"/>
    </row>
    <row r="95" spans="1:5" ht="15">
      <c r="A95" s="66">
        <v>4</v>
      </c>
      <c r="B95" s="125" t="s">
        <v>311</v>
      </c>
      <c r="C95" s="126" t="s">
        <v>255</v>
      </c>
      <c r="D95" s="64"/>
      <c r="E95" s="34"/>
    </row>
    <row r="96" spans="1:5" ht="15">
      <c r="A96" s="69" t="s">
        <v>298</v>
      </c>
      <c r="B96" s="70" t="s">
        <v>299</v>
      </c>
      <c r="C96" s="71">
        <f>C87</f>
        <v>50.7168694921327</v>
      </c>
      <c r="D96" s="158"/>
      <c r="E96" s="159"/>
    </row>
    <row r="97" spans="1:5" ht="15">
      <c r="A97" s="69" t="s">
        <v>307</v>
      </c>
      <c r="B97" s="70" t="s">
        <v>308</v>
      </c>
      <c r="C97" s="71">
        <v>0</v>
      </c>
      <c r="D97" s="64"/>
      <c r="E97" s="34"/>
    </row>
    <row r="98" spans="1:5" ht="15.75">
      <c r="A98" s="76"/>
      <c r="B98" s="127" t="s">
        <v>258</v>
      </c>
      <c r="C98" s="78">
        <f>SUM(C96:C97)</f>
        <v>50.7168694921327</v>
      </c>
      <c r="D98" s="64"/>
      <c r="E98" s="34"/>
    </row>
    <row r="99" spans="1:5" ht="15.75">
      <c r="A99" s="34"/>
      <c r="B99" s="34"/>
      <c r="C99" s="34"/>
      <c r="D99" s="34"/>
      <c r="E99" s="34"/>
    </row>
    <row r="100" spans="1:5" ht="15">
      <c r="A100" s="160"/>
      <c r="B100" s="142" t="s">
        <v>312</v>
      </c>
      <c r="C100" s="161"/>
      <c r="D100" s="34"/>
      <c r="E100" s="34"/>
    </row>
    <row r="101" spans="1:5" ht="15">
      <c r="A101" s="162">
        <v>5</v>
      </c>
      <c r="B101" s="163" t="s">
        <v>313</v>
      </c>
      <c r="C101" s="68" t="s">
        <v>237</v>
      </c>
      <c r="D101" s="34"/>
      <c r="E101" s="34"/>
    </row>
    <row r="102" spans="1:5" ht="15">
      <c r="A102" s="164" t="s">
        <v>238</v>
      </c>
      <c r="B102" s="165" t="s">
        <v>314</v>
      </c>
      <c r="C102" s="166">
        <f>'An IID Uniformes'!H20</f>
        <v>83.0233333333333</v>
      </c>
      <c r="D102" s="34"/>
      <c r="E102" s="34"/>
    </row>
    <row r="103" spans="1:5" ht="15">
      <c r="A103" s="164" t="s">
        <v>240</v>
      </c>
      <c r="B103" s="167" t="s">
        <v>315</v>
      </c>
      <c r="C103" s="168">
        <f>'An IIC Relacao Materiais'!F26</f>
        <v>149.443785714286</v>
      </c>
      <c r="D103" s="169"/>
      <c r="E103" s="169"/>
    </row>
    <row r="104" spans="1:5" ht="15">
      <c r="A104" s="164" t="s">
        <v>242</v>
      </c>
      <c r="B104" s="165" t="s">
        <v>316</v>
      </c>
      <c r="C104" s="170">
        <f>'An IIB Relacao Equip'!F16</f>
        <v>42.8852035714286</v>
      </c>
      <c r="D104" s="169"/>
      <c r="E104" s="34"/>
    </row>
    <row r="105" spans="1:5" ht="15">
      <c r="A105" s="171" t="s">
        <v>244</v>
      </c>
      <c r="B105" s="172" t="s">
        <v>317</v>
      </c>
      <c r="C105" s="173">
        <v>0</v>
      </c>
      <c r="D105" s="34"/>
      <c r="E105" s="34"/>
    </row>
    <row r="106" spans="1:5" ht="15.75">
      <c r="A106" s="174"/>
      <c r="B106" s="175" t="s">
        <v>318</v>
      </c>
      <c r="C106" s="176">
        <f>C102+C103+C104</f>
        <v>275.352322619048</v>
      </c>
      <c r="D106" s="177"/>
      <c r="E106" s="34"/>
    </row>
    <row r="107" spans="1:5" ht="15.75">
      <c r="A107" s="178"/>
      <c r="B107" s="179"/>
      <c r="C107" s="180"/>
      <c r="D107" s="180"/>
      <c r="E107" s="34"/>
    </row>
    <row r="108" spans="1:5" ht="15">
      <c r="A108" s="181"/>
      <c r="B108" s="81" t="s">
        <v>319</v>
      </c>
      <c r="C108" s="81"/>
      <c r="D108" s="81"/>
      <c r="E108" s="34"/>
    </row>
    <row r="109" spans="1:5" ht="15">
      <c r="A109" s="162">
        <v>6</v>
      </c>
      <c r="B109" s="145" t="s">
        <v>320</v>
      </c>
      <c r="C109" s="182" t="s">
        <v>263</v>
      </c>
      <c r="D109" s="146" t="s">
        <v>237</v>
      </c>
      <c r="E109" s="34"/>
    </row>
    <row r="110" spans="1:5" ht="15">
      <c r="A110" s="164" t="s">
        <v>238</v>
      </c>
      <c r="B110" s="183" t="s">
        <v>321</v>
      </c>
      <c r="C110" s="184">
        <v>4.47</v>
      </c>
      <c r="D110" s="86">
        <f>(C127)*C110/100</f>
        <v>193.66470181808</v>
      </c>
      <c r="E110" s="34"/>
    </row>
    <row r="111" spans="1:5" ht="15">
      <c r="A111" s="164" t="s">
        <v>240</v>
      </c>
      <c r="B111" s="183" t="s">
        <v>322</v>
      </c>
      <c r="C111" s="184">
        <v>3.06</v>
      </c>
      <c r="D111" s="86">
        <f>(C127+D110)*C111/100</f>
        <v>138.501976019554</v>
      </c>
      <c r="E111" s="34"/>
    </row>
    <row r="112" spans="1:5" ht="15">
      <c r="A112" s="164" t="s">
        <v>242</v>
      </c>
      <c r="B112" s="183" t="s">
        <v>323</v>
      </c>
      <c r="C112" s="184"/>
      <c r="D112" s="86"/>
      <c r="E112" s="34"/>
    </row>
    <row r="113" spans="1:5" ht="15">
      <c r="A113" s="164"/>
      <c r="B113" s="183" t="s">
        <v>324</v>
      </c>
      <c r="C113" s="184">
        <f>3+0.65</f>
        <v>3.65</v>
      </c>
      <c r="D113" s="86">
        <f>((C127+D110+D111)/(1-(C113+C115)/100))*C113/100</f>
        <v>186.384157096349</v>
      </c>
      <c r="E113" s="34"/>
    </row>
    <row r="114" spans="1:5" ht="15">
      <c r="A114" s="164"/>
      <c r="B114" s="183" t="s">
        <v>325</v>
      </c>
      <c r="C114" s="184"/>
      <c r="D114" s="86"/>
      <c r="E114" s="34"/>
    </row>
    <row r="115" spans="1:5" ht="15">
      <c r="A115" s="164"/>
      <c r="B115" s="183" t="s">
        <v>326</v>
      </c>
      <c r="C115" s="185">
        <v>5</v>
      </c>
      <c r="D115" s="86">
        <f>((C127+D110+D111)/(1-(C113+C115)/100))*C115/100</f>
        <v>255.320763145684</v>
      </c>
      <c r="E115" s="34"/>
    </row>
    <row r="116" spans="1:5" ht="15">
      <c r="A116" s="164"/>
      <c r="B116" s="183" t="s">
        <v>327</v>
      </c>
      <c r="C116" s="184"/>
      <c r="D116" s="86"/>
      <c r="E116" s="34"/>
    </row>
    <row r="117" spans="1:5" ht="15.75">
      <c r="A117" s="186"/>
      <c r="B117" s="150" t="s">
        <v>81</v>
      </c>
      <c r="C117" s="187">
        <f>SUM(C110:C116)</f>
        <v>16.18</v>
      </c>
      <c r="D117" s="111">
        <f>SUM(D110:D116)</f>
        <v>773.871598079668</v>
      </c>
      <c r="E117" s="34"/>
    </row>
    <row r="118" spans="1:5" ht="15">
      <c r="A118" s="178"/>
      <c r="B118" s="179"/>
      <c r="C118" s="180"/>
      <c r="D118" s="180"/>
      <c r="E118" s="34"/>
    </row>
    <row r="119" spans="1:5" ht="15">
      <c r="A119" s="188" t="s">
        <v>328</v>
      </c>
      <c r="B119" s="188"/>
      <c r="C119" s="188"/>
      <c r="D119" s="189"/>
      <c r="E119" s="159"/>
    </row>
    <row r="120" spans="1:5" ht="15.75">
      <c r="A120" s="34"/>
      <c r="B120" s="189"/>
      <c r="C120" s="34"/>
      <c r="D120" s="34"/>
      <c r="E120" s="159"/>
    </row>
    <row r="121" spans="1:5" ht="15">
      <c r="A121" s="114"/>
      <c r="B121" s="190" t="s">
        <v>329</v>
      </c>
      <c r="C121" s="191" t="s">
        <v>237</v>
      </c>
      <c r="D121" s="159"/>
      <c r="E121" s="159"/>
    </row>
    <row r="122" spans="1:5" ht="15">
      <c r="A122" s="82" t="s">
        <v>238</v>
      </c>
      <c r="B122" s="183" t="s">
        <v>330</v>
      </c>
      <c r="C122" s="86">
        <f>C29</f>
        <v>1961.57</v>
      </c>
      <c r="D122" s="159"/>
      <c r="E122" s="159"/>
    </row>
    <row r="123" spans="1:5" ht="15">
      <c r="A123" s="82" t="s">
        <v>240</v>
      </c>
      <c r="B123" s="183" t="s">
        <v>331</v>
      </c>
      <c r="C123" s="86">
        <f>C66</f>
        <v>1914.697385</v>
      </c>
      <c r="D123" s="159"/>
      <c r="E123" s="159"/>
    </row>
    <row r="124" spans="1:5" ht="15">
      <c r="A124" s="82" t="s">
        <v>242</v>
      </c>
      <c r="B124" s="183" t="s">
        <v>332</v>
      </c>
      <c r="C124" s="86">
        <f>C76</f>
        <v>130.207087722833</v>
      </c>
      <c r="D124" s="159"/>
      <c r="E124" s="159"/>
    </row>
    <row r="125" spans="1:5" ht="15">
      <c r="A125" s="82" t="s">
        <v>244</v>
      </c>
      <c r="B125" s="183" t="s">
        <v>333</v>
      </c>
      <c r="C125" s="86">
        <f>C98</f>
        <v>50.7168694921327</v>
      </c>
      <c r="D125" s="159"/>
      <c r="E125" s="159"/>
    </row>
    <row r="126" spans="1:5" ht="15">
      <c r="A126" s="82" t="s">
        <v>246</v>
      </c>
      <c r="B126" s="183" t="s">
        <v>334</v>
      </c>
      <c r="C126" s="86">
        <f>C106</f>
        <v>275.352322619048</v>
      </c>
      <c r="D126" s="159"/>
      <c r="E126" s="159"/>
    </row>
    <row r="127" spans="1:5" ht="15">
      <c r="A127" s="82"/>
      <c r="B127" s="182" t="s">
        <v>335</v>
      </c>
      <c r="C127" s="192">
        <f>SUM(C122:C126)</f>
        <v>4332.54366483401</v>
      </c>
      <c r="D127" s="159"/>
      <c r="E127" s="159"/>
    </row>
    <row r="128" spans="1:5" ht="15">
      <c r="A128" s="82" t="s">
        <v>248</v>
      </c>
      <c r="B128" s="183" t="s">
        <v>336</v>
      </c>
      <c r="C128" s="86">
        <f>D117</f>
        <v>773.871598079668</v>
      </c>
      <c r="D128" s="159"/>
      <c r="E128" s="159"/>
    </row>
    <row r="129" spans="1:5" ht="15">
      <c r="A129" s="82"/>
      <c r="B129" s="145" t="s">
        <v>337</v>
      </c>
      <c r="C129" s="192">
        <f>SUM(C127:C128)</f>
        <v>5106.41526291368</v>
      </c>
      <c r="D129" s="159"/>
      <c r="E129" s="159"/>
    </row>
    <row r="130" spans="1:5" ht="15">
      <c r="A130" s="198"/>
      <c r="B130" s="145" t="s">
        <v>338</v>
      </c>
      <c r="C130" s="90">
        <f>2*C129</f>
        <v>10212.8305258274</v>
      </c>
      <c r="D130" s="159"/>
      <c r="E130" s="159"/>
    </row>
    <row r="131" spans="1:5" ht="15.75">
      <c r="A131" s="76"/>
      <c r="B131" s="193" t="s">
        <v>339</v>
      </c>
      <c r="C131" s="194">
        <f>C129/C29</f>
        <v>2.60322867035776</v>
      </c>
      <c r="D131" s="159"/>
      <c r="E131" s="159"/>
    </row>
    <row r="132" spans="1:5" ht="15">
      <c r="A132" s="34"/>
      <c r="B132" s="189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">
      <c r="A134" s="181"/>
      <c r="B134" s="81" t="s">
        <v>340</v>
      </c>
      <c r="C134" s="81"/>
      <c r="D134" s="81"/>
      <c r="E134" s="34"/>
    </row>
    <row r="135" spans="1:5" ht="15">
      <c r="A135" s="162">
        <v>6</v>
      </c>
      <c r="B135" s="145" t="s">
        <v>320</v>
      </c>
      <c r="C135" s="182" t="s">
        <v>263</v>
      </c>
      <c r="D135" s="146" t="s">
        <v>237</v>
      </c>
      <c r="E135" s="34"/>
    </row>
    <row r="136" spans="1:5" ht="15">
      <c r="A136" s="164" t="s">
        <v>238</v>
      </c>
      <c r="B136" s="183" t="s">
        <v>321</v>
      </c>
      <c r="C136" s="184">
        <v>4.47</v>
      </c>
      <c r="D136" s="86">
        <f>(C153)*C136/100</f>
        <v>193.66470181808</v>
      </c>
      <c r="E136" s="34"/>
    </row>
    <row r="137" spans="1:5" ht="15">
      <c r="A137" s="164" t="s">
        <v>240</v>
      </c>
      <c r="B137" s="183" t="s">
        <v>322</v>
      </c>
      <c r="C137" s="184">
        <v>3.06</v>
      </c>
      <c r="D137" s="86">
        <f>(C153+D136)*C137/100</f>
        <v>138.501976019554</v>
      </c>
      <c r="E137" s="34"/>
    </row>
    <row r="138" spans="1:5" ht="15">
      <c r="A138" s="164" t="s">
        <v>242</v>
      </c>
      <c r="B138" s="183" t="s">
        <v>323</v>
      </c>
      <c r="C138" s="184"/>
      <c r="D138" s="86"/>
      <c r="E138" s="34"/>
    </row>
    <row r="139" spans="1:5" ht="15">
      <c r="A139" s="164"/>
      <c r="B139" s="183" t="s">
        <v>341</v>
      </c>
      <c r="C139" s="107">
        <f>1.65+7.6</f>
        <v>9.25</v>
      </c>
      <c r="D139" s="86">
        <f>((C153+D136+D137)/(1-(C139+C141)/100))*C139/100</f>
        <v>503.19032850977</v>
      </c>
      <c r="E139" s="34"/>
    </row>
    <row r="140" spans="1:5" ht="15">
      <c r="A140" s="164"/>
      <c r="B140" s="183" t="s">
        <v>325</v>
      </c>
      <c r="C140" s="184"/>
      <c r="D140" s="86"/>
      <c r="E140" s="34"/>
    </row>
    <row r="141" spans="1:5" ht="15">
      <c r="A141" s="164"/>
      <c r="B141" s="183" t="s">
        <v>326</v>
      </c>
      <c r="C141" s="185">
        <v>5</v>
      </c>
      <c r="D141" s="86">
        <f>((C153+D136+D137)/(1-(C139+C141)/100))*C141/100</f>
        <v>271.994772167443</v>
      </c>
      <c r="E141" s="34"/>
    </row>
    <row r="142" spans="1:5" ht="15">
      <c r="A142" s="164"/>
      <c r="B142" s="183" t="s">
        <v>327</v>
      </c>
      <c r="C142" s="184"/>
      <c r="D142" s="86"/>
      <c r="E142" s="34"/>
    </row>
    <row r="143" spans="1:5" ht="15.75">
      <c r="A143" s="186"/>
      <c r="B143" s="150" t="s">
        <v>81</v>
      </c>
      <c r="C143" s="187">
        <f>SUM(C136:C142)</f>
        <v>21.78</v>
      </c>
      <c r="D143" s="111">
        <f>SUM(D136:D142)</f>
        <v>1107.35177851485</v>
      </c>
      <c r="E143" s="34"/>
    </row>
    <row r="144" spans="1:5" ht="15">
      <c r="A144" s="112"/>
      <c r="B144" s="112"/>
      <c r="C144" s="112"/>
      <c r="D144" s="112"/>
      <c r="E144" s="34"/>
    </row>
    <row r="145" spans="1:5" ht="15">
      <c r="A145" s="195" t="s">
        <v>328</v>
      </c>
      <c r="B145" s="195"/>
      <c r="C145" s="195"/>
      <c r="D145" s="196"/>
      <c r="E145" s="34"/>
    </row>
    <row r="146" spans="1:5" ht="15.75">
      <c r="A146" s="112"/>
      <c r="B146" s="197"/>
      <c r="C146" s="112"/>
      <c r="D146" s="196"/>
      <c r="E146" s="34"/>
    </row>
    <row r="147" spans="1:5" ht="15">
      <c r="A147" s="114"/>
      <c r="B147" s="190" t="s">
        <v>329</v>
      </c>
      <c r="C147" s="191" t="s">
        <v>237</v>
      </c>
      <c r="D147" s="196"/>
      <c r="E147" s="34"/>
    </row>
    <row r="148" spans="1:5" ht="15">
      <c r="A148" s="82" t="s">
        <v>238</v>
      </c>
      <c r="B148" s="183" t="s">
        <v>330</v>
      </c>
      <c r="C148" s="86">
        <f>C122</f>
        <v>1961.57</v>
      </c>
      <c r="D148" s="196"/>
      <c r="E148" s="34"/>
    </row>
    <row r="149" spans="1:5" ht="15">
      <c r="A149" s="82" t="s">
        <v>240</v>
      </c>
      <c r="B149" s="183" t="s">
        <v>331</v>
      </c>
      <c r="C149" s="86">
        <f>C123</f>
        <v>1914.697385</v>
      </c>
      <c r="D149" s="196"/>
      <c r="E149" s="34"/>
    </row>
    <row r="150" spans="1:5" ht="15">
      <c r="A150" s="82" t="s">
        <v>242</v>
      </c>
      <c r="B150" s="183" t="s">
        <v>332</v>
      </c>
      <c r="C150" s="86">
        <f>C124</f>
        <v>130.207087722833</v>
      </c>
      <c r="D150" s="196"/>
      <c r="E150" s="34"/>
    </row>
    <row r="151" spans="1:5" ht="15">
      <c r="A151" s="82" t="s">
        <v>244</v>
      </c>
      <c r="B151" s="183" t="s">
        <v>333</v>
      </c>
      <c r="C151" s="86">
        <f>C125</f>
        <v>50.7168694921327</v>
      </c>
      <c r="D151" s="196"/>
      <c r="E151" s="34"/>
    </row>
    <row r="152" spans="1:5" ht="15">
      <c r="A152" s="82" t="s">
        <v>246</v>
      </c>
      <c r="B152" s="183" t="s">
        <v>334</v>
      </c>
      <c r="C152" s="86">
        <f>C126</f>
        <v>275.352322619048</v>
      </c>
      <c r="D152" s="196"/>
      <c r="E152" s="34"/>
    </row>
    <row r="153" spans="1:5" ht="15">
      <c r="A153" s="82"/>
      <c r="B153" s="182" t="s">
        <v>335</v>
      </c>
      <c r="C153" s="192">
        <f>SUM(C148:C152)</f>
        <v>4332.54366483401</v>
      </c>
      <c r="D153" s="196"/>
      <c r="E153" s="34"/>
    </row>
    <row r="154" spans="1:5" ht="15">
      <c r="A154" s="82" t="s">
        <v>248</v>
      </c>
      <c r="B154" s="183" t="s">
        <v>336</v>
      </c>
      <c r="C154" s="86">
        <f>D143</f>
        <v>1107.35177851485</v>
      </c>
      <c r="D154" s="196"/>
      <c r="E154" s="34"/>
    </row>
    <row r="155" spans="1:5" ht="15">
      <c r="A155" s="82"/>
      <c r="B155" s="145" t="s">
        <v>337</v>
      </c>
      <c r="C155" s="192">
        <f>SUM(C153:C154)</f>
        <v>5439.89544334886</v>
      </c>
      <c r="D155" s="196"/>
      <c r="E155" s="34"/>
    </row>
    <row r="156" spans="1:5" ht="15">
      <c r="A156" s="198"/>
      <c r="B156" s="145" t="s">
        <v>338</v>
      </c>
      <c r="C156" s="90">
        <f>2*C155</f>
        <v>10879.7908866977</v>
      </c>
      <c r="D156" s="196"/>
      <c r="E156" s="34"/>
    </row>
    <row r="157" spans="1:5" ht="15.75">
      <c r="A157" s="76"/>
      <c r="B157" s="193" t="s">
        <v>339</v>
      </c>
      <c r="C157" s="194">
        <f>C155/C29</f>
        <v>2.77323544066684</v>
      </c>
      <c r="D157" s="196"/>
      <c r="E157" s="34"/>
    </row>
  </sheetData>
  <mergeCells count="24">
    <mergeCell ref="A1:E1"/>
    <mergeCell ref="A2:E2"/>
    <mergeCell ref="A4:E4"/>
    <mergeCell ref="A5:E5"/>
    <mergeCell ref="B7:E7"/>
    <mergeCell ref="B9:E9"/>
    <mergeCell ref="C11:E11"/>
    <mergeCell ref="C12:E12"/>
    <mergeCell ref="C13:E13"/>
    <mergeCell ref="C14:E14"/>
    <mergeCell ref="C15:E15"/>
    <mergeCell ref="C16:E16"/>
    <mergeCell ref="C17:E17"/>
    <mergeCell ref="C18:E18"/>
    <mergeCell ref="A21:C21"/>
    <mergeCell ref="B30:D30"/>
    <mergeCell ref="B31:C31"/>
    <mergeCell ref="B32:C32"/>
    <mergeCell ref="A39:D39"/>
    <mergeCell ref="B89:C89"/>
    <mergeCell ref="B108:D108"/>
    <mergeCell ref="A119:C119"/>
    <mergeCell ref="B134:D134"/>
    <mergeCell ref="A145:C145"/>
  </mergeCells>
  <printOptions/>
  <pageMargins left="0.511811024" right="0.511811024" top="0.787401575" bottom="0.787401575" header="0.31496062" footer="0.31496062"/>
  <pageSetup horizontalDpi="600" verticalDpi="600" orientation="portrait" paperSize="9" scale="81"/>
  <headerFooter>
    <oddHeader>&amp;L&amp;G&amp;CProcesso 23069.167552/2021-41
PE 88/2021&amp;R&amp;G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57"/>
  <sheetViews>
    <sheetView view="pageBreakPreview" zoomScale="60" workbookViewId="0" topLeftCell="A1">
      <selection activeCell="C51" sqref="C51"/>
    </sheetView>
  </sheetViews>
  <sheetFormatPr defaultColWidth="8.8515625" defaultRowHeight="15" outlineLevelCol="7"/>
  <cols>
    <col min="2" max="2" width="64.57421875" style="0" customWidth="1"/>
    <col min="3" max="3" width="16.28125" style="0" customWidth="1"/>
    <col min="4" max="4" width="10.7109375" style="0" customWidth="1"/>
    <col min="5" max="5" width="12.8515625" style="0" customWidth="1"/>
    <col min="6" max="6" width="14.00390625" style="0" customWidth="1"/>
    <col min="7" max="7" width="10.8515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8"/>
      <c r="G1" s="28"/>
    </row>
    <row r="2" spans="1:7" ht="18.75">
      <c r="A2" s="2" t="s">
        <v>1</v>
      </c>
      <c r="B2" s="2"/>
      <c r="C2" s="2"/>
      <c r="D2" s="2"/>
      <c r="E2" s="2"/>
      <c r="F2" s="29"/>
      <c r="G2" s="29"/>
    </row>
    <row r="4" spans="1:8" ht="14.4" customHeight="1">
      <c r="A4" s="30" t="s">
        <v>342</v>
      </c>
      <c r="B4" s="30"/>
      <c r="C4" s="30"/>
      <c r="D4" s="30"/>
      <c r="E4" s="30"/>
      <c r="F4" s="199"/>
      <c r="G4" s="199"/>
      <c r="H4" s="4"/>
    </row>
    <row r="5" spans="1:8" ht="38.4" customHeight="1">
      <c r="A5" s="32" t="s">
        <v>5</v>
      </c>
      <c r="B5" s="32"/>
      <c r="C5" s="32"/>
      <c r="D5" s="32"/>
      <c r="E5" s="32"/>
      <c r="F5" s="33"/>
      <c r="G5" s="33"/>
      <c r="H5" s="6"/>
    </row>
    <row r="7" spans="1:5" ht="15">
      <c r="A7" s="34"/>
      <c r="B7" s="35" t="s">
        <v>343</v>
      </c>
      <c r="C7" s="35"/>
      <c r="D7" s="35"/>
      <c r="E7" s="35"/>
    </row>
    <row r="8" spans="1:5" ht="15">
      <c r="A8" s="34"/>
      <c r="B8" s="34"/>
      <c r="C8" s="34"/>
      <c r="D8" s="34"/>
      <c r="E8" s="34"/>
    </row>
    <row r="9" spans="1:5" ht="15">
      <c r="A9" s="34"/>
      <c r="B9" s="36" t="s">
        <v>221</v>
      </c>
      <c r="C9" s="36"/>
      <c r="D9" s="36"/>
      <c r="E9" s="36"/>
    </row>
    <row r="10" spans="1:5" ht="15.75">
      <c r="A10" s="34"/>
      <c r="B10" s="37" t="s">
        <v>222</v>
      </c>
      <c r="C10" s="38"/>
      <c r="D10" s="38"/>
      <c r="E10" s="38"/>
    </row>
    <row r="11" spans="1:5" ht="15">
      <c r="A11" s="34"/>
      <c r="B11" s="39" t="s">
        <v>223</v>
      </c>
      <c r="C11" s="40" t="s">
        <v>344</v>
      </c>
      <c r="D11" s="41"/>
      <c r="E11" s="42"/>
    </row>
    <row r="12" spans="1:5" ht="15">
      <c r="A12" s="34"/>
      <c r="B12" s="43" t="s">
        <v>225</v>
      </c>
      <c r="C12" s="44">
        <v>15.21</v>
      </c>
      <c r="D12" s="45"/>
      <c r="E12" s="46"/>
    </row>
    <row r="13" spans="1:5" ht="15">
      <c r="A13" s="34"/>
      <c r="B13" s="43" t="s">
        <v>226</v>
      </c>
      <c r="C13" s="47" t="s">
        <v>227</v>
      </c>
      <c r="D13" s="48"/>
      <c r="E13" s="49"/>
    </row>
    <row r="14" spans="1:5" ht="15">
      <c r="A14" s="34"/>
      <c r="B14" s="43" t="s">
        <v>228</v>
      </c>
      <c r="C14" s="50">
        <v>1508.9</v>
      </c>
      <c r="D14" s="51"/>
      <c r="E14" s="52"/>
    </row>
    <row r="15" spans="1:5" ht="15">
      <c r="A15" s="34"/>
      <c r="B15" s="43" t="s">
        <v>229</v>
      </c>
      <c r="C15" s="44" t="s">
        <v>230</v>
      </c>
      <c r="D15" s="45"/>
      <c r="E15" s="46"/>
    </row>
    <row r="16" spans="1:5" ht="15">
      <c r="A16" s="34"/>
      <c r="B16" s="43" t="s">
        <v>231</v>
      </c>
      <c r="C16" s="53">
        <v>22</v>
      </c>
      <c r="D16" s="54"/>
      <c r="E16" s="55"/>
    </row>
    <row r="17" spans="1:5" ht="15">
      <c r="A17" s="34"/>
      <c r="B17" s="43" t="s">
        <v>232</v>
      </c>
      <c r="C17" s="56">
        <v>43831</v>
      </c>
      <c r="D17" s="57"/>
      <c r="E17" s="58"/>
    </row>
    <row r="18" spans="1:5" ht="15.75">
      <c r="A18" s="34"/>
      <c r="B18" s="59" t="s">
        <v>233</v>
      </c>
      <c r="C18" s="60" t="s">
        <v>234</v>
      </c>
      <c r="D18" s="61"/>
      <c r="E18" s="62"/>
    </row>
    <row r="19" spans="1:5" ht="15">
      <c r="A19" s="34"/>
      <c r="B19" s="34"/>
      <c r="C19" s="63"/>
      <c r="D19" s="64"/>
      <c r="E19" s="64"/>
    </row>
    <row r="20" spans="1:5" ht="15.75">
      <c r="A20" s="34"/>
      <c r="B20" s="34"/>
      <c r="C20" s="64"/>
      <c r="D20" s="64"/>
      <c r="E20" s="64"/>
    </row>
    <row r="21" spans="1:5" ht="15">
      <c r="A21" s="65" t="s">
        <v>235</v>
      </c>
      <c r="B21" s="65"/>
      <c r="C21" s="65"/>
      <c r="D21" s="64"/>
      <c r="E21" s="64"/>
    </row>
    <row r="22" spans="1:5" ht="15">
      <c r="A22" s="66">
        <v>1</v>
      </c>
      <c r="B22" s="67" t="s">
        <v>236</v>
      </c>
      <c r="C22" s="68" t="s">
        <v>237</v>
      </c>
      <c r="D22" s="64"/>
      <c r="E22" s="64"/>
    </row>
    <row r="23" spans="1:5" ht="15">
      <c r="A23" s="69" t="s">
        <v>238</v>
      </c>
      <c r="B23" s="70" t="s">
        <v>239</v>
      </c>
      <c r="C23" s="71">
        <f>C14</f>
        <v>1508.9</v>
      </c>
      <c r="D23" s="64"/>
      <c r="E23" s="64"/>
    </row>
    <row r="24" spans="1:5" ht="15">
      <c r="A24" s="69" t="s">
        <v>240</v>
      </c>
      <c r="B24" s="70" t="s">
        <v>241</v>
      </c>
      <c r="C24" s="72">
        <f>30%*C23</f>
        <v>452.67</v>
      </c>
      <c r="D24" s="64"/>
      <c r="E24" s="64"/>
    </row>
    <row r="25" spans="1:5" ht="15">
      <c r="A25" s="69" t="s">
        <v>242</v>
      </c>
      <c r="B25" s="70" t="s">
        <v>243</v>
      </c>
      <c r="C25" s="72"/>
      <c r="D25" s="64"/>
      <c r="E25" s="34"/>
    </row>
    <row r="26" spans="1:5" ht="15">
      <c r="A26" s="69" t="s">
        <v>244</v>
      </c>
      <c r="B26" s="73" t="s">
        <v>245</v>
      </c>
      <c r="C26" s="72">
        <f>(C14/220)*20%*(1.1429*7)*C12</f>
        <v>166.918033737</v>
      </c>
      <c r="D26" s="64"/>
      <c r="E26" s="34"/>
    </row>
    <row r="27" spans="1:5" ht="15">
      <c r="A27" s="69" t="s">
        <v>246</v>
      </c>
      <c r="B27" s="73" t="s">
        <v>247</v>
      </c>
      <c r="C27" s="72"/>
      <c r="D27" s="64"/>
      <c r="E27" s="34"/>
    </row>
    <row r="28" spans="1:5" ht="15">
      <c r="A28" s="69" t="s">
        <v>248</v>
      </c>
      <c r="B28" s="74" t="s">
        <v>249</v>
      </c>
      <c r="C28" s="75"/>
      <c r="D28" s="64"/>
      <c r="E28" s="34"/>
    </row>
    <row r="29" spans="1:5" ht="15.75">
      <c r="A29" s="76"/>
      <c r="B29" s="77" t="s">
        <v>250</v>
      </c>
      <c r="C29" s="78">
        <f>SUM(C23:C28)</f>
        <v>2128.488033737</v>
      </c>
      <c r="D29" s="64"/>
      <c r="E29" s="34"/>
    </row>
    <row r="30" spans="1:5" ht="15.75">
      <c r="A30" s="34"/>
      <c r="B30" s="79"/>
      <c r="C30" s="79"/>
      <c r="D30" s="79"/>
      <c r="E30" s="64"/>
    </row>
    <row r="31" spans="1:5" ht="15">
      <c r="A31" s="80"/>
      <c r="B31" s="81" t="s">
        <v>251</v>
      </c>
      <c r="C31" s="81"/>
      <c r="D31" s="64"/>
      <c r="E31" s="34"/>
    </row>
    <row r="32" spans="1:5" ht="15">
      <c r="A32" s="82"/>
      <c r="B32" s="83" t="s">
        <v>252</v>
      </c>
      <c r="C32" s="83"/>
      <c r="D32" s="64"/>
      <c r="E32" s="34"/>
    </row>
    <row r="33" spans="1:5" ht="15">
      <c r="A33" s="66" t="s">
        <v>253</v>
      </c>
      <c r="B33" s="84" t="s">
        <v>254</v>
      </c>
      <c r="C33" s="68" t="s">
        <v>255</v>
      </c>
      <c r="D33" s="64"/>
      <c r="E33" s="34"/>
    </row>
    <row r="34" spans="1:5" ht="15">
      <c r="A34" s="69" t="s">
        <v>238</v>
      </c>
      <c r="B34" s="85" t="s">
        <v>256</v>
      </c>
      <c r="C34" s="86">
        <f>C29*8.33%</f>
        <v>177.303053210292</v>
      </c>
      <c r="D34" s="64"/>
      <c r="E34" s="34"/>
    </row>
    <row r="35" spans="1:5" ht="15">
      <c r="A35" s="69" t="s">
        <v>240</v>
      </c>
      <c r="B35" s="85" t="s">
        <v>257</v>
      </c>
      <c r="C35" s="86">
        <f>C29*12.1%</f>
        <v>257.547052082177</v>
      </c>
      <c r="D35" s="87"/>
      <c r="E35" s="34"/>
    </row>
    <row r="36" spans="1:5" ht="15">
      <c r="A36" s="88"/>
      <c r="B36" s="89" t="s">
        <v>258</v>
      </c>
      <c r="C36" s="90">
        <f>SUM(C34:C35)</f>
        <v>434.850105292469</v>
      </c>
      <c r="D36" s="91"/>
      <c r="E36" s="34"/>
    </row>
    <row r="37" spans="1:5" ht="36">
      <c r="A37" s="92" t="s">
        <v>242</v>
      </c>
      <c r="B37" s="93" t="s">
        <v>259</v>
      </c>
      <c r="C37" s="94">
        <f>C29*7.82%</f>
        <v>166.447764238233</v>
      </c>
      <c r="D37" s="91"/>
      <c r="E37" s="34"/>
    </row>
    <row r="38" spans="1:5" ht="15.75">
      <c r="A38" s="34"/>
      <c r="B38" s="34"/>
      <c r="C38" s="34"/>
      <c r="D38" s="34"/>
      <c r="E38" s="64"/>
    </row>
    <row r="39" spans="1:5" ht="15.75">
      <c r="A39" s="95" t="s">
        <v>260</v>
      </c>
      <c r="B39" s="95"/>
      <c r="C39" s="95"/>
      <c r="D39" s="95"/>
      <c r="E39" s="64"/>
    </row>
    <row r="40" spans="1:5" ht="15.75">
      <c r="A40" s="96" t="s">
        <v>261</v>
      </c>
      <c r="B40" s="97" t="s">
        <v>262</v>
      </c>
      <c r="C40" s="98" t="s">
        <v>263</v>
      </c>
      <c r="D40" s="99" t="s">
        <v>237</v>
      </c>
      <c r="E40" s="64"/>
    </row>
    <row r="41" spans="1:5" ht="15.75">
      <c r="A41" s="100" t="s">
        <v>238</v>
      </c>
      <c r="B41" s="101" t="s">
        <v>264</v>
      </c>
      <c r="C41" s="102">
        <v>20</v>
      </c>
      <c r="D41" s="103">
        <f>(C$29*(C41/100))</f>
        <v>425.6976067474</v>
      </c>
      <c r="E41" s="64"/>
    </row>
    <row r="42" spans="1:5" ht="15.75">
      <c r="A42" s="100" t="s">
        <v>240</v>
      </c>
      <c r="B42" s="104" t="s">
        <v>265</v>
      </c>
      <c r="C42" s="105">
        <v>2.5</v>
      </c>
      <c r="D42" s="103">
        <f aca="true" t="shared" si="0" ref="D42:D48">(C$29*(C42/100))</f>
        <v>53.212200843425</v>
      </c>
      <c r="E42" s="64"/>
    </row>
    <row r="43" spans="1:5" ht="15.75">
      <c r="A43" s="100" t="s">
        <v>242</v>
      </c>
      <c r="B43" s="106" t="s">
        <v>266</v>
      </c>
      <c r="C43" s="107">
        <v>6</v>
      </c>
      <c r="D43" s="103">
        <f t="shared" si="0"/>
        <v>127.70928202422</v>
      </c>
      <c r="E43" s="64"/>
    </row>
    <row r="44" spans="1:5" ht="15.75">
      <c r="A44" s="100" t="s">
        <v>244</v>
      </c>
      <c r="B44" s="104" t="s">
        <v>267</v>
      </c>
      <c r="C44" s="105">
        <v>1.5</v>
      </c>
      <c r="D44" s="103">
        <f t="shared" si="0"/>
        <v>31.927320506055</v>
      </c>
      <c r="E44" s="64"/>
    </row>
    <row r="45" spans="1:5" ht="15.75">
      <c r="A45" s="100" t="s">
        <v>246</v>
      </c>
      <c r="B45" s="104" t="s">
        <v>268</v>
      </c>
      <c r="C45" s="105">
        <v>1</v>
      </c>
      <c r="D45" s="103">
        <f t="shared" si="0"/>
        <v>21.28488033737</v>
      </c>
      <c r="E45" s="64"/>
    </row>
    <row r="46" spans="1:5" ht="15.75">
      <c r="A46" s="100" t="s">
        <v>248</v>
      </c>
      <c r="B46" s="104" t="s">
        <v>269</v>
      </c>
      <c r="C46" s="105">
        <v>0.6</v>
      </c>
      <c r="D46" s="103">
        <f t="shared" si="0"/>
        <v>12.770928202422</v>
      </c>
      <c r="E46" s="64"/>
    </row>
    <row r="47" spans="1:5" ht="15.75">
      <c r="A47" s="100" t="s">
        <v>270</v>
      </c>
      <c r="B47" s="104" t="s">
        <v>271</v>
      </c>
      <c r="C47" s="105">
        <v>0.2</v>
      </c>
      <c r="D47" s="103">
        <f t="shared" si="0"/>
        <v>4.256976067474</v>
      </c>
      <c r="E47" s="64"/>
    </row>
    <row r="48" spans="1:5" ht="15">
      <c r="A48" s="100" t="s">
        <v>272</v>
      </c>
      <c r="B48" s="106" t="s">
        <v>273</v>
      </c>
      <c r="C48" s="107">
        <v>8</v>
      </c>
      <c r="D48" s="103">
        <f t="shared" si="0"/>
        <v>170.27904269896</v>
      </c>
      <c r="E48" s="64"/>
    </row>
    <row r="49" spans="1:5" ht="15.75">
      <c r="A49" s="108"/>
      <c r="B49" s="109" t="s">
        <v>81</v>
      </c>
      <c r="C49" s="110">
        <f>SUM(C41:C48)</f>
        <v>39.8</v>
      </c>
      <c r="D49" s="111">
        <f>SUM(D41:D48)</f>
        <v>847.138237427326</v>
      </c>
      <c r="E49" s="64"/>
    </row>
    <row r="50" spans="1:5" ht="15">
      <c r="A50" s="112"/>
      <c r="B50" s="113" t="s">
        <v>274</v>
      </c>
      <c r="C50" s="112"/>
      <c r="D50" s="112"/>
      <c r="E50" s="64"/>
    </row>
    <row r="51" spans="1:5" ht="15.75">
      <c r="A51" s="112"/>
      <c r="B51" s="113"/>
      <c r="C51" s="112"/>
      <c r="D51" s="112"/>
      <c r="E51" s="64"/>
    </row>
    <row r="52" spans="1:5" ht="15">
      <c r="A52" s="114"/>
      <c r="B52" s="115" t="s">
        <v>275</v>
      </c>
      <c r="C52" s="116"/>
      <c r="D52" s="64"/>
      <c r="E52" s="34"/>
    </row>
    <row r="53" spans="1:5" ht="15">
      <c r="A53" s="66" t="s">
        <v>276</v>
      </c>
      <c r="B53" s="67" t="s">
        <v>277</v>
      </c>
      <c r="C53" s="68" t="s">
        <v>237</v>
      </c>
      <c r="D53" s="64"/>
      <c r="E53" s="34"/>
    </row>
    <row r="54" spans="1:5" ht="15">
      <c r="A54" s="69" t="s">
        <v>238</v>
      </c>
      <c r="B54" s="117" t="s">
        <v>278</v>
      </c>
      <c r="C54" s="72">
        <f>(4.05*4*C12)-6%*C14</f>
        <v>155.868</v>
      </c>
      <c r="D54" s="64"/>
      <c r="E54" s="34"/>
    </row>
    <row r="55" spans="1:5" ht="15">
      <c r="A55" s="69" t="s">
        <v>240</v>
      </c>
      <c r="B55" s="70" t="s">
        <v>279</v>
      </c>
      <c r="C55" s="72">
        <f>((29*C12)-(29*C12*10%))</f>
        <v>396.981</v>
      </c>
      <c r="D55" s="64"/>
      <c r="E55" s="34"/>
    </row>
    <row r="56" spans="1:5" ht="15">
      <c r="A56" s="69" t="s">
        <v>242</v>
      </c>
      <c r="B56" s="70" t="s">
        <v>280</v>
      </c>
      <c r="C56" s="72"/>
      <c r="D56" s="64"/>
      <c r="E56" s="34"/>
    </row>
    <row r="57" spans="1:5" ht="15">
      <c r="A57" s="69" t="s">
        <v>281</v>
      </c>
      <c r="B57" s="70" t="s">
        <v>282</v>
      </c>
      <c r="C57" s="72">
        <v>27</v>
      </c>
      <c r="D57" s="64"/>
      <c r="E57" s="34"/>
    </row>
    <row r="58" spans="1:5" ht="15">
      <c r="A58" s="88" t="s">
        <v>283</v>
      </c>
      <c r="B58" s="118" t="s">
        <v>284</v>
      </c>
      <c r="C58" s="119"/>
      <c r="D58" s="64"/>
      <c r="E58" s="34"/>
    </row>
    <row r="59" spans="1:5" ht="15.75">
      <c r="A59" s="76"/>
      <c r="B59" s="77" t="s">
        <v>285</v>
      </c>
      <c r="C59" s="78">
        <f>SUM(C54:C58)</f>
        <v>579.849</v>
      </c>
      <c r="D59" s="64"/>
      <c r="E59" s="34"/>
    </row>
    <row r="60" spans="1:5" ht="15.75">
      <c r="A60" s="112"/>
      <c r="B60" s="120"/>
      <c r="C60" s="121"/>
      <c r="D60" s="122"/>
      <c r="E60" s="64"/>
    </row>
    <row r="61" spans="1:5" ht="15">
      <c r="A61" s="114"/>
      <c r="B61" s="123" t="s">
        <v>286</v>
      </c>
      <c r="C61" s="124"/>
      <c r="D61" s="64"/>
      <c r="E61" s="34"/>
    </row>
    <row r="62" spans="1:5" ht="15">
      <c r="A62" s="69">
        <v>2</v>
      </c>
      <c r="B62" s="125" t="s">
        <v>287</v>
      </c>
      <c r="C62" s="126" t="s">
        <v>255</v>
      </c>
      <c r="D62" s="64"/>
      <c r="E62" s="34"/>
    </row>
    <row r="63" spans="1:5" ht="15">
      <c r="A63" s="69" t="s">
        <v>253</v>
      </c>
      <c r="B63" s="70" t="s">
        <v>254</v>
      </c>
      <c r="C63" s="71">
        <f>C36</f>
        <v>434.850105292469</v>
      </c>
      <c r="D63" s="64"/>
      <c r="E63" s="34"/>
    </row>
    <row r="64" spans="1:5" ht="15">
      <c r="A64" s="69" t="s">
        <v>261</v>
      </c>
      <c r="B64" s="70" t="s">
        <v>262</v>
      </c>
      <c r="C64" s="71">
        <f>D49+C37</f>
        <v>1013.58600166556</v>
      </c>
      <c r="D64" s="64"/>
      <c r="E64" s="34"/>
    </row>
    <row r="65" spans="1:5" ht="15">
      <c r="A65" s="69" t="s">
        <v>276</v>
      </c>
      <c r="B65" s="70" t="s">
        <v>277</v>
      </c>
      <c r="C65" s="71">
        <f>C59</f>
        <v>579.849</v>
      </c>
      <c r="D65" s="64"/>
      <c r="E65" s="34"/>
    </row>
    <row r="66" spans="1:5" ht="15.75">
      <c r="A66" s="76"/>
      <c r="B66" s="127" t="s">
        <v>258</v>
      </c>
      <c r="C66" s="78">
        <f>SUM(C63:C65)</f>
        <v>2028.28510695803</v>
      </c>
      <c r="D66" s="64"/>
      <c r="E66" s="34"/>
    </row>
    <row r="67" spans="1:5" ht="15.75">
      <c r="A67" s="34"/>
      <c r="B67" s="128"/>
      <c r="C67" s="122"/>
      <c r="D67" s="122"/>
      <c r="E67" s="64"/>
    </row>
    <row r="68" spans="1:5" ht="15">
      <c r="A68" s="129"/>
      <c r="B68" s="130" t="s">
        <v>288</v>
      </c>
      <c r="C68" s="131"/>
      <c r="D68" s="64"/>
      <c r="E68" s="34"/>
    </row>
    <row r="69" spans="1:5" ht="15">
      <c r="A69" s="132">
        <v>3</v>
      </c>
      <c r="B69" s="133" t="s">
        <v>289</v>
      </c>
      <c r="C69" s="134" t="s">
        <v>237</v>
      </c>
      <c r="D69" s="64"/>
      <c r="E69" s="34"/>
    </row>
    <row r="70" spans="1:5" ht="15">
      <c r="A70" s="135" t="s">
        <v>238</v>
      </c>
      <c r="B70" s="136" t="s">
        <v>290</v>
      </c>
      <c r="C70" s="137">
        <f>((C29+C34+C35)/12)*5%</f>
        <v>10.6805755792895</v>
      </c>
      <c r="D70" s="64"/>
      <c r="E70" s="34"/>
    </row>
    <row r="71" spans="1:5" ht="15">
      <c r="A71" s="135" t="s">
        <v>240</v>
      </c>
      <c r="B71" s="136" t="s">
        <v>291</v>
      </c>
      <c r="C71" s="138">
        <f>((C29+C34)/12)*5%*8%</f>
        <v>0.768597028982431</v>
      </c>
      <c r="D71" s="64"/>
      <c r="E71" s="34"/>
    </row>
    <row r="72" spans="1:5" ht="15">
      <c r="A72" s="135" t="s">
        <v>242</v>
      </c>
      <c r="B72" s="136" t="s">
        <v>292</v>
      </c>
      <c r="C72" s="138">
        <v>0</v>
      </c>
      <c r="D72" s="64"/>
      <c r="E72" s="34"/>
    </row>
    <row r="73" spans="1:5" ht="15">
      <c r="A73" s="135" t="s">
        <v>244</v>
      </c>
      <c r="B73" s="136" t="s">
        <v>293</v>
      </c>
      <c r="C73" s="138">
        <f>(((C29+C56)/30/12)*7)</f>
        <v>41.3872673226639</v>
      </c>
      <c r="D73" s="64"/>
      <c r="E73" s="34"/>
    </row>
    <row r="74" spans="1:5" ht="15">
      <c r="A74" s="135" t="s">
        <v>246</v>
      </c>
      <c r="B74" s="136" t="s">
        <v>294</v>
      </c>
      <c r="C74" s="139">
        <f>(C29/30/12*7)*8%</f>
        <v>3.31098138581311</v>
      </c>
      <c r="D74" s="64"/>
      <c r="E74" s="34"/>
    </row>
    <row r="75" spans="1:5" ht="15">
      <c r="A75" s="135" t="s">
        <v>248</v>
      </c>
      <c r="B75" s="136" t="s">
        <v>295</v>
      </c>
      <c r="C75" s="138">
        <f>C29*4%</f>
        <v>85.13952134948</v>
      </c>
      <c r="D75" s="64"/>
      <c r="E75" s="34"/>
    </row>
    <row r="76" spans="1:5" ht="15">
      <c r="A76" s="140"/>
      <c r="B76" s="133" t="s">
        <v>81</v>
      </c>
      <c r="C76" s="141">
        <f>SUM(C70:C75)</f>
        <v>141.286942666229</v>
      </c>
      <c r="D76" s="64"/>
      <c r="E76" s="34"/>
    </row>
    <row r="77" spans="1:5" ht="15.75">
      <c r="A77" s="34"/>
      <c r="B77" s="34"/>
      <c r="C77" s="34"/>
      <c r="D77" s="34"/>
      <c r="E77" s="64"/>
    </row>
    <row r="78" spans="1:5" ht="15">
      <c r="A78" s="80"/>
      <c r="B78" s="142" t="s">
        <v>296</v>
      </c>
      <c r="C78" s="143"/>
      <c r="D78" s="144"/>
      <c r="E78" s="34"/>
    </row>
    <row r="79" spans="1:5" ht="15">
      <c r="A79" s="82"/>
      <c r="B79" s="125" t="s">
        <v>297</v>
      </c>
      <c r="C79" s="68"/>
      <c r="D79" s="64"/>
      <c r="E79" s="34"/>
    </row>
    <row r="80" spans="1:5" ht="15">
      <c r="A80" s="66" t="s">
        <v>298</v>
      </c>
      <c r="B80" s="145" t="s">
        <v>299</v>
      </c>
      <c r="C80" s="146" t="s">
        <v>237</v>
      </c>
      <c r="D80" s="64"/>
      <c r="E80" s="34"/>
    </row>
    <row r="81" spans="1:5" ht="15">
      <c r="A81" s="69" t="s">
        <v>238</v>
      </c>
      <c r="B81" s="147" t="s">
        <v>300</v>
      </c>
      <c r="C81" s="148">
        <v>0</v>
      </c>
      <c r="D81" s="64"/>
      <c r="E81" s="34"/>
    </row>
    <row r="82" spans="1:5" ht="15">
      <c r="A82" s="69" t="s">
        <v>240</v>
      </c>
      <c r="B82" s="147" t="s">
        <v>301</v>
      </c>
      <c r="C82" s="148">
        <f>(((C29+C66+C76+C85+C106)-(C54-C55-C103-C104))/30*2.96)/12</f>
        <v>41.250890928238</v>
      </c>
      <c r="D82" s="64"/>
      <c r="E82" s="34"/>
    </row>
    <row r="83" spans="1:5" ht="15">
      <c r="A83" s="69" t="s">
        <v>242</v>
      </c>
      <c r="B83" s="147" t="s">
        <v>302</v>
      </c>
      <c r="C83" s="148">
        <f>(((C29+C66+C76+C85+C106)-(C54-C55-C103-C104))/30*5*1.5%)/12</f>
        <v>1.04520838500603</v>
      </c>
      <c r="D83" s="64"/>
      <c r="E83" s="34"/>
    </row>
    <row r="84" spans="1:5" ht="15">
      <c r="A84" s="69" t="s">
        <v>244</v>
      </c>
      <c r="B84" s="147" t="s">
        <v>303</v>
      </c>
      <c r="C84" s="148">
        <f>(((C29+C66+C76+C85+C106)-(C54-C55-C103-C104))/30*15*0.78%)/12</f>
        <v>1.63052508060941</v>
      </c>
      <c r="D84" s="64"/>
      <c r="E84" s="34"/>
    </row>
    <row r="85" spans="1:5" ht="15">
      <c r="A85" s="69" t="s">
        <v>246</v>
      </c>
      <c r="B85" s="147" t="s">
        <v>304</v>
      </c>
      <c r="C85" s="148">
        <f>(((C35*3.95/12)+(C56*3.95*1.02%))/12+((C29+C34)*39.8%*3.95)*1.02%/12)</f>
        <v>10.1458527629311</v>
      </c>
      <c r="D85" s="91"/>
      <c r="E85" s="34"/>
    </row>
    <row r="86" spans="1:5" ht="15">
      <c r="A86" s="69" t="s">
        <v>248</v>
      </c>
      <c r="B86" s="149" t="s">
        <v>305</v>
      </c>
      <c r="C86" s="148">
        <v>0</v>
      </c>
      <c r="D86" s="64"/>
      <c r="E86" s="34"/>
    </row>
    <row r="87" spans="1:5" ht="15.75">
      <c r="A87" s="76"/>
      <c r="B87" s="150" t="s">
        <v>81</v>
      </c>
      <c r="C87" s="111">
        <f>SUM(C81:C86)</f>
        <v>54.0724771567846</v>
      </c>
      <c r="D87" s="64"/>
      <c r="E87" s="34"/>
    </row>
    <row r="88" spans="1:5" ht="15.75">
      <c r="A88" s="112"/>
      <c r="B88" s="112"/>
      <c r="C88" s="112"/>
      <c r="D88" s="34"/>
      <c r="E88" s="64"/>
    </row>
    <row r="89" spans="1:5" ht="15">
      <c r="A89" s="151"/>
      <c r="B89" s="152" t="s">
        <v>306</v>
      </c>
      <c r="C89" s="152"/>
      <c r="D89" s="64"/>
      <c r="E89" s="34"/>
    </row>
    <row r="90" spans="1:5" ht="15">
      <c r="A90" s="66" t="s">
        <v>307</v>
      </c>
      <c r="B90" s="145" t="s">
        <v>308</v>
      </c>
      <c r="C90" s="146" t="s">
        <v>237</v>
      </c>
      <c r="D90" s="64"/>
      <c r="E90" s="34"/>
    </row>
    <row r="91" spans="1:5" ht="15">
      <c r="A91" s="69" t="s">
        <v>238</v>
      </c>
      <c r="B91" s="153" t="s">
        <v>309</v>
      </c>
      <c r="C91" s="154">
        <v>0</v>
      </c>
      <c r="D91" s="64"/>
      <c r="E91" s="34"/>
    </row>
    <row r="92" spans="1:5" ht="15.75">
      <c r="A92" s="155"/>
      <c r="B92" s="150" t="s">
        <v>81</v>
      </c>
      <c r="C92" s="156">
        <v>0</v>
      </c>
      <c r="D92" s="157"/>
      <c r="E92" s="34"/>
    </row>
    <row r="93" spans="1:5" ht="15.75">
      <c r="A93" s="112"/>
      <c r="B93" s="112"/>
      <c r="C93" s="112"/>
      <c r="D93" s="34"/>
      <c r="E93" s="64"/>
    </row>
    <row r="94" spans="1:5" ht="15">
      <c r="A94" s="114"/>
      <c r="B94" s="123" t="s">
        <v>310</v>
      </c>
      <c r="C94" s="124"/>
      <c r="D94" s="64"/>
      <c r="E94" s="34"/>
    </row>
    <row r="95" spans="1:5" ht="15">
      <c r="A95" s="66">
        <v>4</v>
      </c>
      <c r="B95" s="125" t="s">
        <v>311</v>
      </c>
      <c r="C95" s="126" t="s">
        <v>255</v>
      </c>
      <c r="D95" s="64"/>
      <c r="E95" s="34"/>
    </row>
    <row r="96" spans="1:5" ht="15">
      <c r="A96" s="69" t="s">
        <v>298</v>
      </c>
      <c r="B96" s="70" t="s">
        <v>299</v>
      </c>
      <c r="C96" s="71">
        <f>C87</f>
        <v>54.0724771567846</v>
      </c>
      <c r="D96" s="158"/>
      <c r="E96" s="159"/>
    </row>
    <row r="97" spans="1:5" ht="15">
      <c r="A97" s="69" t="s">
        <v>307</v>
      </c>
      <c r="B97" s="70" t="s">
        <v>308</v>
      </c>
      <c r="C97" s="71">
        <v>0</v>
      </c>
      <c r="D97" s="64"/>
      <c r="E97" s="34"/>
    </row>
    <row r="98" spans="1:5" ht="15.75">
      <c r="A98" s="76"/>
      <c r="B98" s="127" t="s">
        <v>258</v>
      </c>
      <c r="C98" s="78">
        <f>SUM(C96:C97)</f>
        <v>54.0724771567846</v>
      </c>
      <c r="D98" s="64"/>
      <c r="E98" s="34"/>
    </row>
    <row r="99" spans="1:5" ht="15.75">
      <c r="A99" s="34"/>
      <c r="B99" s="34"/>
      <c r="C99" s="34"/>
      <c r="D99" s="34"/>
      <c r="E99" s="34"/>
    </row>
    <row r="100" spans="1:5" ht="15">
      <c r="A100" s="160"/>
      <c r="B100" s="142" t="s">
        <v>312</v>
      </c>
      <c r="C100" s="161"/>
      <c r="D100" s="34"/>
      <c r="E100" s="34"/>
    </row>
    <row r="101" spans="1:5" ht="15">
      <c r="A101" s="162">
        <v>5</v>
      </c>
      <c r="B101" s="163" t="s">
        <v>313</v>
      </c>
      <c r="C101" s="68" t="s">
        <v>237</v>
      </c>
      <c r="D101" s="34"/>
      <c r="E101" s="34"/>
    </row>
    <row r="102" spans="1:5" ht="15">
      <c r="A102" s="164" t="s">
        <v>238</v>
      </c>
      <c r="B102" s="165" t="s">
        <v>314</v>
      </c>
      <c r="C102" s="166">
        <f>'An IID Uniformes'!H20</f>
        <v>83.0233333333333</v>
      </c>
      <c r="D102" s="34"/>
      <c r="E102" s="34"/>
    </row>
    <row r="103" spans="1:5" ht="15">
      <c r="A103" s="164" t="s">
        <v>240</v>
      </c>
      <c r="B103" s="167" t="s">
        <v>315</v>
      </c>
      <c r="C103" s="168">
        <f>'An IIC Relacao Materiais'!F26</f>
        <v>149.443785714286</v>
      </c>
      <c r="D103" s="169"/>
      <c r="E103" s="169"/>
    </row>
    <row r="104" spans="1:5" ht="15">
      <c r="A104" s="164" t="s">
        <v>242</v>
      </c>
      <c r="B104" s="165" t="s">
        <v>316</v>
      </c>
      <c r="C104" s="170">
        <f>'An IIB Relacao Equip'!F16</f>
        <v>42.8852035714286</v>
      </c>
      <c r="D104" s="169"/>
      <c r="E104" s="34"/>
    </row>
    <row r="105" spans="1:5" ht="15">
      <c r="A105" s="171" t="s">
        <v>244</v>
      </c>
      <c r="B105" s="172" t="s">
        <v>317</v>
      </c>
      <c r="C105" s="173">
        <v>0</v>
      </c>
      <c r="D105" s="34"/>
      <c r="E105" s="34"/>
    </row>
    <row r="106" spans="1:5" ht="15.75">
      <c r="A106" s="174"/>
      <c r="B106" s="175" t="s">
        <v>318</v>
      </c>
      <c r="C106" s="176">
        <f>C102+C103+C104</f>
        <v>275.352322619048</v>
      </c>
      <c r="D106" s="177"/>
      <c r="E106" s="34"/>
    </row>
    <row r="107" spans="1:5" ht="15.75">
      <c r="A107" s="178"/>
      <c r="B107" s="179"/>
      <c r="C107" s="180"/>
      <c r="D107" s="180"/>
      <c r="E107" s="34"/>
    </row>
    <row r="108" spans="1:5" ht="15">
      <c r="A108" s="181"/>
      <c r="B108" s="81" t="s">
        <v>319</v>
      </c>
      <c r="C108" s="81"/>
      <c r="D108" s="81"/>
      <c r="E108" s="34"/>
    </row>
    <row r="109" spans="1:5" ht="15">
      <c r="A109" s="162">
        <v>6</v>
      </c>
      <c r="B109" s="145" t="s">
        <v>320</v>
      </c>
      <c r="C109" s="182" t="s">
        <v>263</v>
      </c>
      <c r="D109" s="146" t="s">
        <v>237</v>
      </c>
      <c r="E109" s="34"/>
    </row>
    <row r="110" spans="1:5" ht="15">
      <c r="A110" s="164" t="s">
        <v>238</v>
      </c>
      <c r="B110" s="183" t="s">
        <v>321</v>
      </c>
      <c r="C110" s="184">
        <v>4.47</v>
      </c>
      <c r="D110" s="86">
        <f>(C127)*C110/100</f>
        <v>206.848574276228</v>
      </c>
      <c r="E110" s="34"/>
    </row>
    <row r="111" spans="1:5" ht="15">
      <c r="A111" s="164" t="s">
        <v>240</v>
      </c>
      <c r="B111" s="183" t="s">
        <v>322</v>
      </c>
      <c r="C111" s="184">
        <v>3.06</v>
      </c>
      <c r="D111" s="86">
        <f>(C127+D110)*C111/100</f>
        <v>147.930603796848</v>
      </c>
      <c r="E111" s="34"/>
    </row>
    <row r="112" spans="1:5" ht="15">
      <c r="A112" s="164" t="s">
        <v>242</v>
      </c>
      <c r="B112" s="183" t="s">
        <v>323</v>
      </c>
      <c r="C112" s="184"/>
      <c r="D112" s="86"/>
      <c r="E112" s="34"/>
    </row>
    <row r="113" spans="1:5" ht="15">
      <c r="A113" s="164"/>
      <c r="B113" s="183" t="s">
        <v>324</v>
      </c>
      <c r="C113" s="184">
        <f>3+0.65</f>
        <v>3.65</v>
      </c>
      <c r="D113" s="86">
        <f>((C127+D110+D111)/(1-(C113+C115)/100))*C113/100</f>
        <v>199.072400913159</v>
      </c>
      <c r="E113" s="34"/>
    </row>
    <row r="114" spans="1:5" ht="15">
      <c r="A114" s="164"/>
      <c r="B114" s="183" t="s">
        <v>325</v>
      </c>
      <c r="C114" s="184"/>
      <c r="D114" s="86"/>
      <c r="E114" s="34"/>
    </row>
    <row r="115" spans="1:5" ht="15">
      <c r="A115" s="164"/>
      <c r="B115" s="183" t="s">
        <v>326</v>
      </c>
      <c r="C115" s="185">
        <v>5</v>
      </c>
      <c r="D115" s="86">
        <f>((C127+D110+D111)/(1-(C113+C115)/100))*C115/100</f>
        <v>272.701919059122</v>
      </c>
      <c r="E115" s="34"/>
    </row>
    <row r="116" spans="1:5" ht="15">
      <c r="A116" s="164"/>
      <c r="B116" s="183" t="s">
        <v>327</v>
      </c>
      <c r="C116" s="184"/>
      <c r="D116" s="86"/>
      <c r="E116" s="34"/>
    </row>
    <row r="117" spans="1:5" ht="15.75">
      <c r="A117" s="186"/>
      <c r="B117" s="150" t="s">
        <v>81</v>
      </c>
      <c r="C117" s="187">
        <f>SUM(C110:C116)</f>
        <v>16.18</v>
      </c>
      <c r="D117" s="111">
        <f>SUM(D110:D116)</f>
        <v>826.553498045357</v>
      </c>
      <c r="E117" s="34"/>
    </row>
    <row r="118" spans="1:5" ht="15">
      <c r="A118" s="178"/>
      <c r="B118" s="179"/>
      <c r="C118" s="180"/>
      <c r="D118" s="180"/>
      <c r="E118" s="34"/>
    </row>
    <row r="119" spans="1:5" ht="15">
      <c r="A119" s="188" t="s">
        <v>328</v>
      </c>
      <c r="B119" s="188"/>
      <c r="C119" s="188"/>
      <c r="D119" s="189"/>
      <c r="E119" s="159"/>
    </row>
    <row r="120" spans="1:5" ht="15.75">
      <c r="A120" s="34"/>
      <c r="B120" s="189"/>
      <c r="C120" s="34"/>
      <c r="D120" s="34"/>
      <c r="E120" s="159"/>
    </row>
    <row r="121" spans="1:5" ht="15">
      <c r="A121" s="114"/>
      <c r="B121" s="190" t="s">
        <v>329</v>
      </c>
      <c r="C121" s="191" t="s">
        <v>237</v>
      </c>
      <c r="D121" s="159"/>
      <c r="E121" s="159"/>
    </row>
    <row r="122" spans="1:5" ht="15">
      <c r="A122" s="82" t="s">
        <v>238</v>
      </c>
      <c r="B122" s="183" t="s">
        <v>330</v>
      </c>
      <c r="C122" s="86">
        <f>C29</f>
        <v>2128.488033737</v>
      </c>
      <c r="D122" s="159"/>
      <c r="E122" s="159"/>
    </row>
    <row r="123" spans="1:5" ht="15">
      <c r="A123" s="82" t="s">
        <v>240</v>
      </c>
      <c r="B123" s="183" t="s">
        <v>331</v>
      </c>
      <c r="C123" s="86">
        <f>C66</f>
        <v>2028.28510695803</v>
      </c>
      <c r="D123" s="159"/>
      <c r="E123" s="159"/>
    </row>
    <row r="124" spans="1:5" ht="15">
      <c r="A124" s="82" t="s">
        <v>242</v>
      </c>
      <c r="B124" s="183" t="s">
        <v>332</v>
      </c>
      <c r="C124" s="86">
        <f>C76</f>
        <v>141.286942666229</v>
      </c>
      <c r="D124" s="159"/>
      <c r="E124" s="159"/>
    </row>
    <row r="125" spans="1:5" ht="15">
      <c r="A125" s="82" t="s">
        <v>244</v>
      </c>
      <c r="B125" s="183" t="s">
        <v>333</v>
      </c>
      <c r="C125" s="86">
        <f>C98</f>
        <v>54.0724771567846</v>
      </c>
      <c r="D125" s="159"/>
      <c r="E125" s="159"/>
    </row>
    <row r="126" spans="1:5" ht="15">
      <c r="A126" s="82" t="s">
        <v>246</v>
      </c>
      <c r="B126" s="183" t="s">
        <v>334</v>
      </c>
      <c r="C126" s="86">
        <f>C106</f>
        <v>275.352322619048</v>
      </c>
      <c r="D126" s="159"/>
      <c r="E126" s="159"/>
    </row>
    <row r="127" spans="1:5" ht="15">
      <c r="A127" s="82"/>
      <c r="B127" s="182" t="s">
        <v>335</v>
      </c>
      <c r="C127" s="192">
        <f>SUM(C122:C126)</f>
        <v>4627.48488313709</v>
      </c>
      <c r="D127" s="159"/>
      <c r="E127" s="159"/>
    </row>
    <row r="128" spans="1:5" ht="15">
      <c r="A128" s="82" t="s">
        <v>248</v>
      </c>
      <c r="B128" s="183" t="s">
        <v>336</v>
      </c>
      <c r="C128" s="86">
        <f>D117</f>
        <v>826.553498045357</v>
      </c>
      <c r="D128" s="159"/>
      <c r="E128" s="159"/>
    </row>
    <row r="129" spans="1:5" ht="15">
      <c r="A129" s="82"/>
      <c r="B129" s="145" t="s">
        <v>337</v>
      </c>
      <c r="C129" s="192">
        <f>SUM(C127:C128)</f>
        <v>5454.03838118245</v>
      </c>
      <c r="D129" s="159"/>
      <c r="E129" s="159"/>
    </row>
    <row r="130" spans="1:5" ht="15">
      <c r="A130" s="198"/>
      <c r="B130" s="145" t="s">
        <v>338</v>
      </c>
      <c r="C130" s="90">
        <f>2*C129</f>
        <v>10908.0767623649</v>
      </c>
      <c r="D130" s="159"/>
      <c r="E130" s="159"/>
    </row>
    <row r="131" spans="1:5" ht="15.75">
      <c r="A131" s="76"/>
      <c r="B131" s="193" t="s">
        <v>339</v>
      </c>
      <c r="C131" s="194">
        <f>C129/C29</f>
        <v>2.56240030234361</v>
      </c>
      <c r="D131" s="159"/>
      <c r="E131" s="159"/>
    </row>
    <row r="132" spans="1:5" ht="15">
      <c r="A132" s="34"/>
      <c r="B132" s="189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">
      <c r="A134" s="181"/>
      <c r="B134" s="81" t="s">
        <v>340</v>
      </c>
      <c r="C134" s="81"/>
      <c r="D134" s="81"/>
      <c r="E134" s="34"/>
    </row>
    <row r="135" spans="1:5" ht="15">
      <c r="A135" s="162">
        <v>6</v>
      </c>
      <c r="B135" s="145" t="s">
        <v>320</v>
      </c>
      <c r="C135" s="182" t="s">
        <v>263</v>
      </c>
      <c r="D135" s="146" t="s">
        <v>237</v>
      </c>
      <c r="E135" s="34"/>
    </row>
    <row r="136" spans="1:5" ht="15">
      <c r="A136" s="164" t="s">
        <v>238</v>
      </c>
      <c r="B136" s="183" t="s">
        <v>321</v>
      </c>
      <c r="C136" s="184">
        <v>4.47</v>
      </c>
      <c r="D136" s="86">
        <f>(C153)*C136/100</f>
        <v>206.848574276228</v>
      </c>
      <c r="E136" s="34"/>
    </row>
    <row r="137" spans="1:5" ht="15">
      <c r="A137" s="164" t="s">
        <v>240</v>
      </c>
      <c r="B137" s="183" t="s">
        <v>322</v>
      </c>
      <c r="C137" s="184">
        <v>3.06</v>
      </c>
      <c r="D137" s="86">
        <f>(C153+D136)*C137/100</f>
        <v>147.930603796848</v>
      </c>
      <c r="E137" s="34"/>
    </row>
    <row r="138" spans="1:5" ht="15">
      <c r="A138" s="164" t="s">
        <v>242</v>
      </c>
      <c r="B138" s="183" t="s">
        <v>323</v>
      </c>
      <c r="C138" s="184"/>
      <c r="D138" s="86"/>
      <c r="E138" s="34"/>
    </row>
    <row r="139" spans="1:5" ht="15">
      <c r="A139" s="164"/>
      <c r="B139" s="183" t="s">
        <v>341</v>
      </c>
      <c r="C139" s="107">
        <f>1.65+7.6</f>
        <v>9.25</v>
      </c>
      <c r="D139" s="86">
        <f>((C153+D136+D137)/(1-(C139+C141)/100))*C139/100</f>
        <v>537.445394357948</v>
      </c>
      <c r="E139" s="34"/>
    </row>
    <row r="140" spans="1:5" ht="15">
      <c r="A140" s="164"/>
      <c r="B140" s="183" t="s">
        <v>325</v>
      </c>
      <c r="C140" s="184"/>
      <c r="D140" s="86"/>
      <c r="E140" s="34"/>
    </row>
    <row r="141" spans="1:5" ht="15">
      <c r="A141" s="164"/>
      <c r="B141" s="183" t="s">
        <v>326</v>
      </c>
      <c r="C141" s="185">
        <v>5</v>
      </c>
      <c r="D141" s="86">
        <f>((C153+D136+D137)/(1-(C139+C141)/100))*C141/100</f>
        <v>290.511023977269</v>
      </c>
      <c r="E141" s="34"/>
    </row>
    <row r="142" spans="1:5" ht="15">
      <c r="A142" s="164"/>
      <c r="B142" s="183" t="s">
        <v>327</v>
      </c>
      <c r="C142" s="184"/>
      <c r="D142" s="86"/>
      <c r="E142" s="34"/>
    </row>
    <row r="143" spans="1:5" ht="15.75">
      <c r="A143" s="186"/>
      <c r="B143" s="150" t="s">
        <v>81</v>
      </c>
      <c r="C143" s="187">
        <f>SUM(C136:C142)</f>
        <v>21.78</v>
      </c>
      <c r="D143" s="111">
        <f>SUM(D136:D142)</f>
        <v>1182.73559640829</v>
      </c>
      <c r="E143" s="34"/>
    </row>
    <row r="144" spans="1:5" ht="15">
      <c r="A144" s="112"/>
      <c r="B144" s="112"/>
      <c r="C144" s="112"/>
      <c r="D144" s="112"/>
      <c r="E144" s="34"/>
    </row>
    <row r="145" spans="1:5" ht="15">
      <c r="A145" s="195" t="s">
        <v>328</v>
      </c>
      <c r="B145" s="195"/>
      <c r="C145" s="195"/>
      <c r="D145" s="196"/>
      <c r="E145" s="34"/>
    </row>
    <row r="146" spans="1:5" ht="15.75">
      <c r="A146" s="112"/>
      <c r="B146" s="197"/>
      <c r="C146" s="112"/>
      <c r="D146" s="196"/>
      <c r="E146" s="34"/>
    </row>
    <row r="147" spans="1:5" ht="15">
      <c r="A147" s="114"/>
      <c r="B147" s="190" t="s">
        <v>329</v>
      </c>
      <c r="C147" s="191" t="s">
        <v>237</v>
      </c>
      <c r="D147" s="196"/>
      <c r="E147" s="34"/>
    </row>
    <row r="148" spans="1:5" ht="15">
      <c r="A148" s="82" t="s">
        <v>238</v>
      </c>
      <c r="B148" s="183" t="s">
        <v>330</v>
      </c>
      <c r="C148" s="86">
        <f>C122</f>
        <v>2128.488033737</v>
      </c>
      <c r="D148" s="196"/>
      <c r="E148" s="34"/>
    </row>
    <row r="149" spans="1:5" ht="15">
      <c r="A149" s="82" t="s">
        <v>240</v>
      </c>
      <c r="B149" s="183" t="s">
        <v>331</v>
      </c>
      <c r="C149" s="86">
        <f>C123</f>
        <v>2028.28510695803</v>
      </c>
      <c r="D149" s="196"/>
      <c r="E149" s="34"/>
    </row>
    <row r="150" spans="1:5" ht="15">
      <c r="A150" s="82" t="s">
        <v>242</v>
      </c>
      <c r="B150" s="183" t="s">
        <v>332</v>
      </c>
      <c r="C150" s="86">
        <f>C124</f>
        <v>141.286942666229</v>
      </c>
      <c r="D150" s="196"/>
      <c r="E150" s="34"/>
    </row>
    <row r="151" spans="1:5" ht="15">
      <c r="A151" s="82" t="s">
        <v>244</v>
      </c>
      <c r="B151" s="183" t="s">
        <v>333</v>
      </c>
      <c r="C151" s="86">
        <f>C125</f>
        <v>54.0724771567846</v>
      </c>
      <c r="D151" s="196"/>
      <c r="E151" s="34"/>
    </row>
    <row r="152" spans="1:5" ht="15">
      <c r="A152" s="82" t="s">
        <v>246</v>
      </c>
      <c r="B152" s="183" t="s">
        <v>334</v>
      </c>
      <c r="C152" s="86">
        <f>C126</f>
        <v>275.352322619048</v>
      </c>
      <c r="D152" s="196"/>
      <c r="E152" s="34"/>
    </row>
    <row r="153" spans="1:5" ht="15">
      <c r="A153" s="82"/>
      <c r="B153" s="182" t="s">
        <v>335</v>
      </c>
      <c r="C153" s="192">
        <f>SUM(C148:C152)</f>
        <v>4627.48488313709</v>
      </c>
      <c r="D153" s="196"/>
      <c r="E153" s="34"/>
    </row>
    <row r="154" spans="1:5" ht="15">
      <c r="A154" s="82" t="s">
        <v>248</v>
      </c>
      <c r="B154" s="183" t="s">
        <v>336</v>
      </c>
      <c r="C154" s="86">
        <f>D143</f>
        <v>1182.73559640829</v>
      </c>
      <c r="D154" s="196"/>
      <c r="E154" s="34"/>
    </row>
    <row r="155" spans="1:5" ht="15">
      <c r="A155" s="82"/>
      <c r="B155" s="145" t="s">
        <v>337</v>
      </c>
      <c r="C155" s="192">
        <f>SUM(C153:C154)</f>
        <v>5810.22047954538</v>
      </c>
      <c r="D155" s="196"/>
      <c r="E155" s="34"/>
    </row>
    <row r="156" spans="1:5" ht="15">
      <c r="A156" s="198"/>
      <c r="B156" s="145" t="s">
        <v>338</v>
      </c>
      <c r="C156" s="90">
        <f>2*C155</f>
        <v>11620.4409590908</v>
      </c>
      <c r="D156" s="196"/>
      <c r="E156" s="34"/>
    </row>
    <row r="157" spans="1:5" ht="15.75">
      <c r="A157" s="76"/>
      <c r="B157" s="193" t="s">
        <v>339</v>
      </c>
      <c r="C157" s="194">
        <f>C155/C29</f>
        <v>2.72974073025177</v>
      </c>
      <c r="D157" s="196"/>
      <c r="E157" s="34"/>
    </row>
  </sheetData>
  <mergeCells count="24">
    <mergeCell ref="A1:E1"/>
    <mergeCell ref="A2:E2"/>
    <mergeCell ref="A4:E4"/>
    <mergeCell ref="A5:E5"/>
    <mergeCell ref="B7:E7"/>
    <mergeCell ref="B9:E9"/>
    <mergeCell ref="C11:E11"/>
    <mergeCell ref="C12:E12"/>
    <mergeCell ref="C13:E13"/>
    <mergeCell ref="C14:E14"/>
    <mergeCell ref="C15:E15"/>
    <mergeCell ref="C16:E16"/>
    <mergeCell ref="C17:E17"/>
    <mergeCell ref="C18:E18"/>
    <mergeCell ref="A21:C21"/>
    <mergeCell ref="B30:D30"/>
    <mergeCell ref="B31:C31"/>
    <mergeCell ref="B32:C32"/>
    <mergeCell ref="A39:D39"/>
    <mergeCell ref="B89:C89"/>
    <mergeCell ref="B108:D108"/>
    <mergeCell ref="A119:C119"/>
    <mergeCell ref="B134:D134"/>
    <mergeCell ref="A145:C145"/>
  </mergeCells>
  <printOptions/>
  <pageMargins left="0.511811024" right="0.511811024" top="0.787401575" bottom="0.787401575" header="0.31496062" footer="0.31496062"/>
  <pageSetup horizontalDpi="600" verticalDpi="600" orientation="portrait" paperSize="9" scale="81"/>
  <headerFooter>
    <oddHeader>&amp;L&amp;G&amp;CProcesso 23069.167552/2021-41
PE 88/2021&amp;R&amp;G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57"/>
  <sheetViews>
    <sheetView workbookViewId="0" topLeftCell="A36">
      <selection activeCell="B57" sqref="B57"/>
    </sheetView>
  </sheetViews>
  <sheetFormatPr defaultColWidth="8.8515625" defaultRowHeight="15" outlineLevelCol="7"/>
  <cols>
    <col min="2" max="2" width="64.57421875" style="0" customWidth="1"/>
    <col min="3" max="3" width="12.28125" style="0" customWidth="1"/>
    <col min="4" max="4" width="10.7109375" style="0" customWidth="1"/>
    <col min="5" max="5" width="12.8515625" style="0" customWidth="1"/>
    <col min="6" max="6" width="14.00390625" style="0" customWidth="1"/>
    <col min="7" max="7" width="10.8515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8"/>
      <c r="G1" s="28"/>
    </row>
    <row r="2" spans="1:7" ht="18.75">
      <c r="A2" s="2" t="s">
        <v>1</v>
      </c>
      <c r="B2" s="2"/>
      <c r="C2" s="2"/>
      <c r="D2" s="2"/>
      <c r="E2" s="2"/>
      <c r="F2" s="29"/>
      <c r="G2" s="29"/>
    </row>
    <row r="4" spans="1:8" ht="14.4" customHeight="1">
      <c r="A4" s="30" t="s">
        <v>345</v>
      </c>
      <c r="B4" s="30"/>
      <c r="C4" s="30"/>
      <c r="D4" s="30"/>
      <c r="E4" s="30"/>
      <c r="F4" s="31"/>
      <c r="G4" s="31"/>
      <c r="H4" s="4"/>
    </row>
    <row r="5" spans="1:8" ht="38.4" customHeight="1">
      <c r="A5" s="32" t="s">
        <v>5</v>
      </c>
      <c r="B5" s="32"/>
      <c r="C5" s="32"/>
      <c r="D5" s="32"/>
      <c r="E5" s="32"/>
      <c r="F5" s="33"/>
      <c r="G5" s="33"/>
      <c r="H5" s="6"/>
    </row>
    <row r="7" spans="1:5" ht="15">
      <c r="A7" s="34"/>
      <c r="B7" s="35" t="s">
        <v>346</v>
      </c>
      <c r="C7" s="35"/>
      <c r="D7" s="35"/>
      <c r="E7" s="35"/>
    </row>
    <row r="8" spans="1:5" ht="15">
      <c r="A8" s="34"/>
      <c r="B8" s="34"/>
      <c r="C8" s="34"/>
      <c r="D8" s="34"/>
      <c r="E8" s="34"/>
    </row>
    <row r="9" spans="1:5" ht="15">
      <c r="A9" s="34"/>
      <c r="B9" s="36" t="s">
        <v>221</v>
      </c>
      <c r="C9" s="36"/>
      <c r="D9" s="36"/>
      <c r="E9" s="36"/>
    </row>
    <row r="10" spans="1:5" ht="15.75">
      <c r="A10" s="34"/>
      <c r="B10" s="37" t="s">
        <v>222</v>
      </c>
      <c r="C10" s="38"/>
      <c r="D10" s="38"/>
      <c r="E10" s="38"/>
    </row>
    <row r="11" spans="1:5" ht="15">
      <c r="A11" s="34"/>
      <c r="B11" s="39" t="s">
        <v>223</v>
      </c>
      <c r="C11" s="40" t="s">
        <v>347</v>
      </c>
      <c r="D11" s="41"/>
      <c r="E11" s="42"/>
    </row>
    <row r="12" spans="1:5" ht="15">
      <c r="A12" s="34"/>
      <c r="B12" s="43" t="s">
        <v>225</v>
      </c>
      <c r="C12" s="44">
        <v>15.21</v>
      </c>
      <c r="D12" s="45"/>
      <c r="E12" s="46"/>
    </row>
    <row r="13" spans="1:5" ht="15">
      <c r="A13" s="34"/>
      <c r="B13" s="43" t="s">
        <v>226</v>
      </c>
      <c r="C13" s="47" t="s">
        <v>227</v>
      </c>
      <c r="D13" s="48"/>
      <c r="E13" s="49"/>
    </row>
    <row r="14" spans="1:5" ht="15">
      <c r="A14" s="34"/>
      <c r="B14" s="43" t="s">
        <v>228</v>
      </c>
      <c r="C14" s="50">
        <v>1810.68</v>
      </c>
      <c r="D14" s="51"/>
      <c r="E14" s="52"/>
    </row>
    <row r="15" spans="1:5" ht="15">
      <c r="A15" s="34"/>
      <c r="B15" s="43" t="s">
        <v>229</v>
      </c>
      <c r="C15" s="44" t="s">
        <v>230</v>
      </c>
      <c r="D15" s="45"/>
      <c r="E15" s="46"/>
    </row>
    <row r="16" spans="1:5" ht="15">
      <c r="A16" s="34"/>
      <c r="B16" s="43" t="s">
        <v>231</v>
      </c>
      <c r="C16" s="53">
        <v>8</v>
      </c>
      <c r="D16" s="54"/>
      <c r="E16" s="55"/>
    </row>
    <row r="17" spans="1:5" ht="15">
      <c r="A17" s="34"/>
      <c r="B17" s="43" t="s">
        <v>232</v>
      </c>
      <c r="C17" s="56">
        <v>43831</v>
      </c>
      <c r="D17" s="57"/>
      <c r="E17" s="58"/>
    </row>
    <row r="18" spans="1:5" ht="15.75">
      <c r="A18" s="34"/>
      <c r="B18" s="59" t="s">
        <v>233</v>
      </c>
      <c r="C18" s="60" t="s">
        <v>234</v>
      </c>
      <c r="D18" s="61"/>
      <c r="E18" s="62"/>
    </row>
    <row r="19" spans="1:5" ht="15">
      <c r="A19" s="34"/>
      <c r="B19" s="34"/>
      <c r="C19" s="63"/>
      <c r="D19" s="64"/>
      <c r="E19" s="64"/>
    </row>
    <row r="20" spans="1:5" ht="15.75">
      <c r="A20" s="34"/>
      <c r="B20" s="34"/>
      <c r="C20" s="64"/>
      <c r="D20" s="64"/>
      <c r="E20" s="64"/>
    </row>
    <row r="21" spans="1:5" ht="15">
      <c r="A21" s="65" t="s">
        <v>235</v>
      </c>
      <c r="B21" s="65"/>
      <c r="C21" s="65"/>
      <c r="D21" s="64"/>
      <c r="E21" s="64"/>
    </row>
    <row r="22" spans="1:5" ht="15">
      <c r="A22" s="66">
        <v>1</v>
      </c>
      <c r="B22" s="67" t="s">
        <v>236</v>
      </c>
      <c r="C22" s="68" t="s">
        <v>237</v>
      </c>
      <c r="D22" s="64"/>
      <c r="E22" s="64"/>
    </row>
    <row r="23" spans="1:5" ht="15">
      <c r="A23" s="69" t="s">
        <v>238</v>
      </c>
      <c r="B23" s="70" t="s">
        <v>239</v>
      </c>
      <c r="C23" s="71">
        <f>C14</f>
        <v>1810.68</v>
      </c>
      <c r="D23" s="64"/>
      <c r="E23" s="64"/>
    </row>
    <row r="24" spans="1:5" ht="15">
      <c r="A24" s="69" t="s">
        <v>240</v>
      </c>
      <c r="B24" s="70" t="s">
        <v>241</v>
      </c>
      <c r="C24" s="72">
        <f>30%*C23</f>
        <v>543.204</v>
      </c>
      <c r="D24" s="64"/>
      <c r="E24" s="64"/>
    </row>
    <row r="25" spans="1:5" ht="15">
      <c r="A25" s="69" t="s">
        <v>242</v>
      </c>
      <c r="B25" s="70" t="s">
        <v>243</v>
      </c>
      <c r="C25" s="72"/>
      <c r="D25" s="64"/>
      <c r="E25" s="34"/>
    </row>
    <row r="26" spans="1:5" ht="15">
      <c r="A26" s="69" t="s">
        <v>244</v>
      </c>
      <c r="B26" s="73" t="s">
        <v>245</v>
      </c>
      <c r="C26" s="72"/>
      <c r="D26" s="64"/>
      <c r="E26" s="34"/>
    </row>
    <row r="27" spans="1:5" ht="15">
      <c r="A27" s="69" t="s">
        <v>246</v>
      </c>
      <c r="B27" s="73" t="s">
        <v>247</v>
      </c>
      <c r="C27" s="72"/>
      <c r="D27" s="64"/>
      <c r="E27" s="34"/>
    </row>
    <row r="28" spans="1:5" ht="15">
      <c r="A28" s="69" t="s">
        <v>248</v>
      </c>
      <c r="B28" s="74" t="s">
        <v>249</v>
      </c>
      <c r="C28" s="75"/>
      <c r="D28" s="64"/>
      <c r="E28" s="34"/>
    </row>
    <row r="29" spans="1:5" ht="15.75">
      <c r="A29" s="76"/>
      <c r="B29" s="77" t="s">
        <v>250</v>
      </c>
      <c r="C29" s="78">
        <f>SUM(C23:C28)</f>
        <v>2353.884</v>
      </c>
      <c r="D29" s="64"/>
      <c r="E29" s="34"/>
    </row>
    <row r="30" spans="1:5" ht="15.75">
      <c r="A30" s="34"/>
      <c r="B30" s="79"/>
      <c r="C30" s="79"/>
      <c r="D30" s="79"/>
      <c r="E30" s="64"/>
    </row>
    <row r="31" spans="1:5" ht="15">
      <c r="A31" s="80"/>
      <c r="B31" s="81" t="s">
        <v>251</v>
      </c>
      <c r="C31" s="81"/>
      <c r="D31" s="64"/>
      <c r="E31" s="34"/>
    </row>
    <row r="32" spans="1:5" ht="15">
      <c r="A32" s="82"/>
      <c r="B32" s="83" t="s">
        <v>252</v>
      </c>
      <c r="C32" s="83"/>
      <c r="D32" s="64"/>
      <c r="E32" s="34"/>
    </row>
    <row r="33" spans="1:5" ht="15">
      <c r="A33" s="66" t="s">
        <v>253</v>
      </c>
      <c r="B33" s="84" t="s">
        <v>254</v>
      </c>
      <c r="C33" s="68" t="s">
        <v>255</v>
      </c>
      <c r="D33" s="64"/>
      <c r="E33" s="34"/>
    </row>
    <row r="34" spans="1:5" ht="15">
      <c r="A34" s="69" t="s">
        <v>238</v>
      </c>
      <c r="B34" s="85" t="s">
        <v>256</v>
      </c>
      <c r="C34" s="86">
        <f>C29*8.33%</f>
        <v>196.0785372</v>
      </c>
      <c r="D34" s="64"/>
      <c r="E34" s="34"/>
    </row>
    <row r="35" spans="1:5" ht="15">
      <c r="A35" s="69" t="s">
        <v>240</v>
      </c>
      <c r="B35" s="85" t="s">
        <v>257</v>
      </c>
      <c r="C35" s="86">
        <f>C29*12.1%</f>
        <v>284.819964</v>
      </c>
      <c r="D35" s="87"/>
      <c r="E35" s="34"/>
    </row>
    <row r="36" spans="1:5" ht="15">
      <c r="A36" s="88"/>
      <c r="B36" s="89" t="s">
        <v>258</v>
      </c>
      <c r="C36" s="90">
        <f>SUM(C34:C35)</f>
        <v>480.8985012</v>
      </c>
      <c r="D36" s="91"/>
      <c r="E36" s="34"/>
    </row>
    <row r="37" spans="1:5" ht="36">
      <c r="A37" s="92" t="s">
        <v>242</v>
      </c>
      <c r="B37" s="93" t="s">
        <v>259</v>
      </c>
      <c r="C37" s="94">
        <f>C29*7.82%</f>
        <v>184.0737288</v>
      </c>
      <c r="D37" s="91"/>
      <c r="E37" s="34"/>
    </row>
    <row r="38" spans="1:5" ht="15.75">
      <c r="A38" s="34"/>
      <c r="B38" s="34"/>
      <c r="C38" s="34"/>
      <c r="D38" s="34"/>
      <c r="E38" s="64"/>
    </row>
    <row r="39" spans="1:5" ht="32.4" customHeight="1">
      <c r="A39" s="95" t="s">
        <v>260</v>
      </c>
      <c r="B39" s="95"/>
      <c r="C39" s="95"/>
      <c r="D39" s="95"/>
      <c r="E39" s="64"/>
    </row>
    <row r="40" spans="1:5" ht="15.75">
      <c r="A40" s="96" t="s">
        <v>261</v>
      </c>
      <c r="B40" s="97" t="s">
        <v>262</v>
      </c>
      <c r="C40" s="98" t="s">
        <v>263</v>
      </c>
      <c r="D40" s="99" t="s">
        <v>237</v>
      </c>
      <c r="E40" s="64"/>
    </row>
    <row r="41" spans="1:5" ht="15.75">
      <c r="A41" s="100" t="s">
        <v>238</v>
      </c>
      <c r="B41" s="101" t="s">
        <v>264</v>
      </c>
      <c r="C41" s="102">
        <v>20</v>
      </c>
      <c r="D41" s="103">
        <f>(C$29*(C41/100))</f>
        <v>470.7768</v>
      </c>
      <c r="E41" s="64"/>
    </row>
    <row r="42" spans="1:5" ht="15.75">
      <c r="A42" s="100" t="s">
        <v>240</v>
      </c>
      <c r="B42" s="104" t="s">
        <v>265</v>
      </c>
      <c r="C42" s="105">
        <v>2.5</v>
      </c>
      <c r="D42" s="103">
        <f aca="true" t="shared" si="0" ref="D42:D48">(C$29*(C42/100))</f>
        <v>58.8471</v>
      </c>
      <c r="E42" s="64"/>
    </row>
    <row r="43" spans="1:5" ht="15.75">
      <c r="A43" s="100" t="s">
        <v>242</v>
      </c>
      <c r="B43" s="106" t="s">
        <v>266</v>
      </c>
      <c r="C43" s="107">
        <v>6</v>
      </c>
      <c r="D43" s="103">
        <f t="shared" si="0"/>
        <v>141.23304</v>
      </c>
      <c r="E43" s="64"/>
    </row>
    <row r="44" spans="1:5" ht="15.75">
      <c r="A44" s="100" t="s">
        <v>244</v>
      </c>
      <c r="B44" s="104" t="s">
        <v>267</v>
      </c>
      <c r="C44" s="105">
        <v>1.5</v>
      </c>
      <c r="D44" s="103">
        <f t="shared" si="0"/>
        <v>35.30826</v>
      </c>
      <c r="E44" s="64"/>
    </row>
    <row r="45" spans="1:5" ht="15.75">
      <c r="A45" s="100" t="s">
        <v>246</v>
      </c>
      <c r="B45" s="104" t="s">
        <v>268</v>
      </c>
      <c r="C45" s="105">
        <v>1</v>
      </c>
      <c r="D45" s="103">
        <f t="shared" si="0"/>
        <v>23.53884</v>
      </c>
      <c r="E45" s="64"/>
    </row>
    <row r="46" spans="1:5" ht="15.75">
      <c r="A46" s="100" t="s">
        <v>248</v>
      </c>
      <c r="B46" s="104" t="s">
        <v>269</v>
      </c>
      <c r="C46" s="105">
        <v>0.6</v>
      </c>
      <c r="D46" s="103">
        <f t="shared" si="0"/>
        <v>14.123304</v>
      </c>
      <c r="E46" s="64"/>
    </row>
    <row r="47" spans="1:5" ht="15.75">
      <c r="A47" s="100" t="s">
        <v>270</v>
      </c>
      <c r="B47" s="104" t="s">
        <v>271</v>
      </c>
      <c r="C47" s="105">
        <v>0.2</v>
      </c>
      <c r="D47" s="103">
        <f t="shared" si="0"/>
        <v>4.707768</v>
      </c>
      <c r="E47" s="64"/>
    </row>
    <row r="48" spans="1:5" ht="15">
      <c r="A48" s="100" t="s">
        <v>272</v>
      </c>
      <c r="B48" s="106" t="s">
        <v>273</v>
      </c>
      <c r="C48" s="107">
        <v>8</v>
      </c>
      <c r="D48" s="103">
        <f t="shared" si="0"/>
        <v>188.31072</v>
      </c>
      <c r="E48" s="64"/>
    </row>
    <row r="49" spans="1:5" ht="15.75">
      <c r="A49" s="108"/>
      <c r="B49" s="109" t="s">
        <v>81</v>
      </c>
      <c r="C49" s="110">
        <f>SUM(C41:C48)</f>
        <v>39.8</v>
      </c>
      <c r="D49" s="111">
        <f>SUM(D41:D48)</f>
        <v>936.845832</v>
      </c>
      <c r="E49" s="64"/>
    </row>
    <row r="50" spans="1:5" ht="15">
      <c r="A50" s="112"/>
      <c r="B50" s="113" t="s">
        <v>274</v>
      </c>
      <c r="C50" s="112"/>
      <c r="D50" s="112"/>
      <c r="E50" s="64"/>
    </row>
    <row r="51" spans="1:5" ht="15.75">
      <c r="A51" s="112"/>
      <c r="B51" s="113"/>
      <c r="C51" s="112"/>
      <c r="D51" s="112"/>
      <c r="E51" s="64"/>
    </row>
    <row r="52" spans="1:5" ht="15">
      <c r="A52" s="114"/>
      <c r="B52" s="115" t="s">
        <v>275</v>
      </c>
      <c r="C52" s="116"/>
      <c r="D52" s="64"/>
      <c r="E52" s="34"/>
    </row>
    <row r="53" spans="1:5" ht="15">
      <c r="A53" s="66" t="s">
        <v>276</v>
      </c>
      <c r="B53" s="67" t="s">
        <v>277</v>
      </c>
      <c r="C53" s="68" t="s">
        <v>237</v>
      </c>
      <c r="D53" s="64"/>
      <c r="E53" s="34"/>
    </row>
    <row r="54" spans="1:5" ht="15">
      <c r="A54" s="69" t="s">
        <v>238</v>
      </c>
      <c r="B54" s="117" t="s">
        <v>278</v>
      </c>
      <c r="C54" s="72">
        <f>(4.05*4*C12)-6%*C14</f>
        <v>137.7612</v>
      </c>
      <c r="D54" s="64"/>
      <c r="E54" s="34"/>
    </row>
    <row r="55" spans="1:5" ht="15">
      <c r="A55" s="69" t="s">
        <v>240</v>
      </c>
      <c r="B55" s="70" t="s">
        <v>279</v>
      </c>
      <c r="C55" s="72">
        <f>((29*C12)-(29*C12*10%))</f>
        <v>396.981</v>
      </c>
      <c r="D55" s="64"/>
      <c r="E55" s="34"/>
    </row>
    <row r="56" spans="1:5" ht="15">
      <c r="A56" s="69" t="s">
        <v>242</v>
      </c>
      <c r="B56" s="70" t="s">
        <v>280</v>
      </c>
      <c r="C56" s="72"/>
      <c r="D56" s="64"/>
      <c r="E56" s="34"/>
    </row>
    <row r="57" spans="1:5" ht="15">
      <c r="A57" s="69" t="s">
        <v>281</v>
      </c>
      <c r="B57" s="70" t="s">
        <v>282</v>
      </c>
      <c r="C57" s="72">
        <v>27</v>
      </c>
      <c r="D57" s="64"/>
      <c r="E57" s="34"/>
    </row>
    <row r="58" spans="1:5" ht="15">
      <c r="A58" s="88" t="s">
        <v>283</v>
      </c>
      <c r="B58" s="118" t="s">
        <v>284</v>
      </c>
      <c r="C58" s="119"/>
      <c r="D58" s="64"/>
      <c r="E58" s="34"/>
    </row>
    <row r="59" spans="1:5" ht="15.75">
      <c r="A59" s="76"/>
      <c r="B59" s="77" t="s">
        <v>285</v>
      </c>
      <c r="C59" s="78">
        <f>SUM(C54:C58)</f>
        <v>561.7422</v>
      </c>
      <c r="D59" s="64"/>
      <c r="E59" s="34"/>
    </row>
    <row r="60" spans="1:5" ht="15.75">
      <c r="A60" s="112"/>
      <c r="B60" s="120"/>
      <c r="C60" s="121"/>
      <c r="D60" s="122"/>
      <c r="E60" s="64"/>
    </row>
    <row r="61" spans="1:5" ht="15">
      <c r="A61" s="114"/>
      <c r="B61" s="123" t="s">
        <v>286</v>
      </c>
      <c r="C61" s="124"/>
      <c r="D61" s="64"/>
      <c r="E61" s="34"/>
    </row>
    <row r="62" spans="1:5" ht="15">
      <c r="A62" s="69">
        <v>2</v>
      </c>
      <c r="B62" s="125" t="s">
        <v>287</v>
      </c>
      <c r="C62" s="126" t="s">
        <v>255</v>
      </c>
      <c r="D62" s="64"/>
      <c r="E62" s="34"/>
    </row>
    <row r="63" spans="1:5" ht="15">
      <c r="A63" s="69" t="s">
        <v>253</v>
      </c>
      <c r="B63" s="70" t="s">
        <v>254</v>
      </c>
      <c r="C63" s="71">
        <f>C36</f>
        <v>480.8985012</v>
      </c>
      <c r="D63" s="64"/>
      <c r="E63" s="34"/>
    </row>
    <row r="64" spans="1:5" ht="15">
      <c r="A64" s="69" t="s">
        <v>261</v>
      </c>
      <c r="B64" s="70" t="s">
        <v>262</v>
      </c>
      <c r="C64" s="71">
        <f>D49+C37</f>
        <v>1120.9195608</v>
      </c>
      <c r="D64" s="64"/>
      <c r="E64" s="34"/>
    </row>
    <row r="65" spans="1:5" ht="15">
      <c r="A65" s="69" t="s">
        <v>276</v>
      </c>
      <c r="B65" s="70" t="s">
        <v>277</v>
      </c>
      <c r="C65" s="71">
        <f>C59</f>
        <v>561.7422</v>
      </c>
      <c r="D65" s="64"/>
      <c r="E65" s="34"/>
    </row>
    <row r="66" spans="1:5" ht="15.75">
      <c r="A66" s="76"/>
      <c r="B66" s="127" t="s">
        <v>258</v>
      </c>
      <c r="C66" s="78">
        <f>SUM(C63:C65)</f>
        <v>2163.560262</v>
      </c>
      <c r="D66" s="64"/>
      <c r="E66" s="34"/>
    </row>
    <row r="67" spans="1:5" ht="15.75">
      <c r="A67" s="34"/>
      <c r="B67" s="128"/>
      <c r="C67" s="122"/>
      <c r="D67" s="122"/>
      <c r="E67" s="64"/>
    </row>
    <row r="68" spans="1:5" ht="15">
      <c r="A68" s="129"/>
      <c r="B68" s="130" t="s">
        <v>288</v>
      </c>
      <c r="C68" s="131"/>
      <c r="D68" s="64"/>
      <c r="E68" s="34"/>
    </row>
    <row r="69" spans="1:5" ht="15">
      <c r="A69" s="132">
        <v>3</v>
      </c>
      <c r="B69" s="133" t="s">
        <v>289</v>
      </c>
      <c r="C69" s="134" t="s">
        <v>237</v>
      </c>
      <c r="D69" s="64"/>
      <c r="E69" s="34"/>
    </row>
    <row r="70" spans="1:5" ht="15">
      <c r="A70" s="135" t="s">
        <v>238</v>
      </c>
      <c r="B70" s="136" t="s">
        <v>290</v>
      </c>
      <c r="C70" s="137">
        <f>((C29+C34+C35)/12)*5%</f>
        <v>11.811593755</v>
      </c>
      <c r="D70" s="64"/>
      <c r="E70" s="34"/>
    </row>
    <row r="71" spans="1:5" ht="15">
      <c r="A71" s="135" t="s">
        <v>240</v>
      </c>
      <c r="B71" s="136" t="s">
        <v>291</v>
      </c>
      <c r="C71" s="138">
        <f>((C29+C34)/12)*5%*8%</f>
        <v>0.8499875124</v>
      </c>
      <c r="D71" s="64"/>
      <c r="E71" s="34"/>
    </row>
    <row r="72" spans="1:5" ht="15">
      <c r="A72" s="135" t="s">
        <v>242</v>
      </c>
      <c r="B72" s="136" t="s">
        <v>292</v>
      </c>
      <c r="C72" s="138">
        <v>0</v>
      </c>
      <c r="D72" s="64"/>
      <c r="E72" s="34"/>
    </row>
    <row r="73" spans="1:5" ht="15">
      <c r="A73" s="135" t="s">
        <v>244</v>
      </c>
      <c r="B73" s="136" t="s">
        <v>293</v>
      </c>
      <c r="C73" s="138">
        <f>(((C29+C56)/30/12)*7)</f>
        <v>45.7699666666667</v>
      </c>
      <c r="D73" s="64"/>
      <c r="E73" s="34"/>
    </row>
    <row r="74" spans="1:5" ht="15">
      <c r="A74" s="135" t="s">
        <v>246</v>
      </c>
      <c r="B74" s="136" t="s">
        <v>294</v>
      </c>
      <c r="C74" s="139">
        <f>(C29/30/12*7)*8%</f>
        <v>3.66159733333333</v>
      </c>
      <c r="D74" s="64"/>
      <c r="E74" s="34"/>
    </row>
    <row r="75" spans="1:5" ht="15">
      <c r="A75" s="135" t="s">
        <v>248</v>
      </c>
      <c r="B75" s="136" t="s">
        <v>295</v>
      </c>
      <c r="C75" s="138">
        <f>C29*4%</f>
        <v>94.15536</v>
      </c>
      <c r="D75" s="64"/>
      <c r="E75" s="34"/>
    </row>
    <row r="76" spans="1:5" ht="15">
      <c r="A76" s="140"/>
      <c r="B76" s="133" t="s">
        <v>81</v>
      </c>
      <c r="C76" s="141">
        <f>SUM(C70:C75)</f>
        <v>156.2485052674</v>
      </c>
      <c r="D76" s="64"/>
      <c r="E76" s="34"/>
    </row>
    <row r="77" spans="1:5" ht="15.75">
      <c r="A77" s="34"/>
      <c r="B77" s="34"/>
      <c r="C77" s="34"/>
      <c r="D77" s="34"/>
      <c r="E77" s="64"/>
    </row>
    <row r="78" spans="1:5" ht="15">
      <c r="A78" s="80"/>
      <c r="B78" s="142" t="s">
        <v>296</v>
      </c>
      <c r="C78" s="143"/>
      <c r="D78" s="144"/>
      <c r="E78" s="34"/>
    </row>
    <row r="79" spans="1:5" ht="15">
      <c r="A79" s="82"/>
      <c r="B79" s="125" t="s">
        <v>297</v>
      </c>
      <c r="C79" s="68"/>
      <c r="D79" s="64"/>
      <c r="E79" s="34"/>
    </row>
    <row r="80" spans="1:5" ht="15">
      <c r="A80" s="66" t="s">
        <v>298</v>
      </c>
      <c r="B80" s="145" t="s">
        <v>299</v>
      </c>
      <c r="C80" s="146" t="s">
        <v>237</v>
      </c>
      <c r="D80" s="64"/>
      <c r="E80" s="34"/>
    </row>
    <row r="81" spans="1:5" ht="15">
      <c r="A81" s="69" t="s">
        <v>238</v>
      </c>
      <c r="B81" s="147" t="s">
        <v>300</v>
      </c>
      <c r="C81" s="148">
        <v>0</v>
      </c>
      <c r="D81" s="64"/>
      <c r="E81" s="34"/>
    </row>
    <row r="82" spans="1:5" ht="15">
      <c r="A82" s="69" t="s">
        <v>240</v>
      </c>
      <c r="B82" s="147" t="s">
        <v>301</v>
      </c>
      <c r="C82" s="148">
        <f>(((C29+C66+C76+C85+C106)-(C54-C55-C103-C104))/30*2.96)/12</f>
        <v>45.1600207743318</v>
      </c>
      <c r="D82" s="64"/>
      <c r="E82" s="34"/>
    </row>
    <row r="83" spans="1:5" ht="15">
      <c r="A83" s="69" t="s">
        <v>242</v>
      </c>
      <c r="B83" s="147" t="s">
        <v>302</v>
      </c>
      <c r="C83" s="148">
        <f>(((C29+C66+C76+C85+C106)-(C54-C55-C103-C104))/30*5*1.5%)/12</f>
        <v>1.14425728313341</v>
      </c>
      <c r="D83" s="64"/>
      <c r="E83" s="34"/>
    </row>
    <row r="84" spans="1:5" ht="15">
      <c r="A84" s="69" t="s">
        <v>244</v>
      </c>
      <c r="B84" s="147" t="s">
        <v>303</v>
      </c>
      <c r="C84" s="148">
        <f>(((C29+C66+C76+C85+C106)-(C54-C55-C103-C104))/30*15*0.78%)/12</f>
        <v>1.78504136168811</v>
      </c>
      <c r="D84" s="64"/>
      <c r="E84" s="34"/>
    </row>
    <row r="85" spans="1:5" ht="15">
      <c r="A85" s="69" t="s">
        <v>246</v>
      </c>
      <c r="B85" s="147" t="s">
        <v>304</v>
      </c>
      <c r="C85" s="148">
        <f>(((C35*3.95/12)+(C56*3.95*1.02%))/12+((C29+C34)*39.8%*3.95)*1.02%/12)</f>
        <v>11.2202465348556</v>
      </c>
      <c r="D85" s="91"/>
      <c r="E85" s="34"/>
    </row>
    <row r="86" spans="1:5" ht="15">
      <c r="A86" s="69" t="s">
        <v>248</v>
      </c>
      <c r="B86" s="149" t="s">
        <v>305</v>
      </c>
      <c r="C86" s="148">
        <v>0</v>
      </c>
      <c r="D86" s="64"/>
      <c r="E86" s="34"/>
    </row>
    <row r="87" spans="1:5" ht="15.75">
      <c r="A87" s="76"/>
      <c r="B87" s="150" t="s">
        <v>81</v>
      </c>
      <c r="C87" s="111">
        <f>SUM(C81:C86)</f>
        <v>59.3095659540089</v>
      </c>
      <c r="D87" s="64"/>
      <c r="E87" s="34"/>
    </row>
    <row r="88" spans="1:5" ht="15.75">
      <c r="A88" s="112"/>
      <c r="B88" s="112"/>
      <c r="C88" s="112"/>
      <c r="D88" s="34"/>
      <c r="E88" s="64"/>
    </row>
    <row r="89" spans="1:5" ht="15">
      <c r="A89" s="151"/>
      <c r="B89" s="152" t="s">
        <v>306</v>
      </c>
      <c r="C89" s="152"/>
      <c r="D89" s="64"/>
      <c r="E89" s="34"/>
    </row>
    <row r="90" spans="1:5" ht="15">
      <c r="A90" s="66" t="s">
        <v>307</v>
      </c>
      <c r="B90" s="145" t="s">
        <v>308</v>
      </c>
      <c r="C90" s="146" t="s">
        <v>237</v>
      </c>
      <c r="D90" s="64"/>
      <c r="E90" s="34"/>
    </row>
    <row r="91" spans="1:5" ht="15">
      <c r="A91" s="69" t="s">
        <v>238</v>
      </c>
      <c r="B91" s="153" t="s">
        <v>309</v>
      </c>
      <c r="C91" s="154">
        <v>0</v>
      </c>
      <c r="D91" s="64"/>
      <c r="E91" s="34"/>
    </row>
    <row r="92" spans="1:5" ht="15.75">
      <c r="A92" s="155"/>
      <c r="B92" s="150" t="s">
        <v>81</v>
      </c>
      <c r="C92" s="156">
        <v>0</v>
      </c>
      <c r="D92" s="157"/>
      <c r="E92" s="34"/>
    </row>
    <row r="93" spans="1:5" ht="15.75">
      <c r="A93" s="112"/>
      <c r="B93" s="112"/>
      <c r="C93" s="112"/>
      <c r="D93" s="34"/>
      <c r="E93" s="64"/>
    </row>
    <row r="94" spans="1:5" ht="15">
      <c r="A94" s="114"/>
      <c r="B94" s="123" t="s">
        <v>310</v>
      </c>
      <c r="C94" s="124"/>
      <c r="D94" s="64"/>
      <c r="E94" s="34"/>
    </row>
    <row r="95" spans="1:5" ht="15">
      <c r="A95" s="66">
        <v>4</v>
      </c>
      <c r="B95" s="125" t="s">
        <v>311</v>
      </c>
      <c r="C95" s="126" t="s">
        <v>255</v>
      </c>
      <c r="D95" s="64"/>
      <c r="E95" s="34"/>
    </row>
    <row r="96" spans="1:5" ht="15">
      <c r="A96" s="69" t="s">
        <v>298</v>
      </c>
      <c r="B96" s="70" t="s">
        <v>299</v>
      </c>
      <c r="C96" s="71">
        <f>C87</f>
        <v>59.3095659540089</v>
      </c>
      <c r="D96" s="158"/>
      <c r="E96" s="159"/>
    </row>
    <row r="97" spans="1:5" ht="15">
      <c r="A97" s="69" t="s">
        <v>307</v>
      </c>
      <c r="B97" s="70" t="s">
        <v>308</v>
      </c>
      <c r="C97" s="71">
        <v>0</v>
      </c>
      <c r="D97" s="64"/>
      <c r="E97" s="34"/>
    </row>
    <row r="98" spans="1:5" ht="15.75">
      <c r="A98" s="76"/>
      <c r="B98" s="127" t="s">
        <v>258</v>
      </c>
      <c r="C98" s="78">
        <f>SUM(C96:C97)</f>
        <v>59.3095659540089</v>
      </c>
      <c r="D98" s="64"/>
      <c r="E98" s="34"/>
    </row>
    <row r="99" spans="1:5" ht="15.75">
      <c r="A99" s="34"/>
      <c r="B99" s="34"/>
      <c r="C99" s="34"/>
      <c r="D99" s="34"/>
      <c r="E99" s="34"/>
    </row>
    <row r="100" spans="1:5" ht="15">
      <c r="A100" s="160"/>
      <c r="B100" s="142" t="s">
        <v>312</v>
      </c>
      <c r="C100" s="161"/>
      <c r="D100" s="34"/>
      <c r="E100" s="34"/>
    </row>
    <row r="101" spans="1:5" ht="15">
      <c r="A101" s="162">
        <v>5</v>
      </c>
      <c r="B101" s="163" t="s">
        <v>313</v>
      </c>
      <c r="C101" s="68" t="s">
        <v>237</v>
      </c>
      <c r="D101" s="34"/>
      <c r="E101" s="34"/>
    </row>
    <row r="102" spans="1:5" ht="15">
      <c r="A102" s="164" t="s">
        <v>238</v>
      </c>
      <c r="B102" s="165" t="s">
        <v>314</v>
      </c>
      <c r="C102" s="166">
        <f>'An IID Uniformes'!H38</f>
        <v>163.644166666667</v>
      </c>
      <c r="D102" s="34"/>
      <c r="E102" s="34"/>
    </row>
    <row r="103" spans="1:5" ht="15">
      <c r="A103" s="164" t="s">
        <v>240</v>
      </c>
      <c r="B103" s="167" t="s">
        <v>315</v>
      </c>
      <c r="C103" s="168">
        <f>'An IIC Relacao Materiais'!F26</f>
        <v>149.443785714286</v>
      </c>
      <c r="D103" s="169"/>
      <c r="E103" s="169"/>
    </row>
    <row r="104" spans="1:5" ht="15">
      <c r="A104" s="164" t="s">
        <v>242</v>
      </c>
      <c r="B104" s="165" t="s">
        <v>316</v>
      </c>
      <c r="C104" s="170">
        <f>'An IIB Relacao Equip'!F16</f>
        <v>42.8852035714286</v>
      </c>
      <c r="D104" s="169"/>
      <c r="E104" s="34"/>
    </row>
    <row r="105" spans="1:5" ht="15">
      <c r="A105" s="171" t="s">
        <v>244</v>
      </c>
      <c r="B105" s="172" t="s">
        <v>317</v>
      </c>
      <c r="C105" s="173">
        <v>0</v>
      </c>
      <c r="D105" s="34"/>
      <c r="E105" s="34"/>
    </row>
    <row r="106" spans="1:5" ht="15.75">
      <c r="A106" s="174"/>
      <c r="B106" s="175" t="s">
        <v>318</v>
      </c>
      <c r="C106" s="176">
        <f>C102+C103+C104</f>
        <v>355.973155952381</v>
      </c>
      <c r="D106" s="177"/>
      <c r="E106" s="34"/>
    </row>
    <row r="107" spans="1:5" ht="15.75">
      <c r="A107" s="178"/>
      <c r="B107" s="179"/>
      <c r="C107" s="180"/>
      <c r="D107" s="180"/>
      <c r="E107" s="34"/>
    </row>
    <row r="108" spans="1:5" ht="15">
      <c r="A108" s="181"/>
      <c r="B108" s="81" t="s">
        <v>319</v>
      </c>
      <c r="C108" s="81"/>
      <c r="D108" s="81"/>
      <c r="E108" s="34"/>
    </row>
    <row r="109" spans="1:5" ht="15">
      <c r="A109" s="162">
        <v>6</v>
      </c>
      <c r="B109" s="145" t="s">
        <v>320</v>
      </c>
      <c r="C109" s="182" t="s">
        <v>263</v>
      </c>
      <c r="D109" s="146" t="s">
        <v>237</v>
      </c>
      <c r="E109" s="34"/>
    </row>
    <row r="110" spans="1:5" ht="15">
      <c r="A110" s="164" t="s">
        <v>238</v>
      </c>
      <c r="B110" s="183" t="s">
        <v>321</v>
      </c>
      <c r="C110" s="184">
        <v>4.47</v>
      </c>
      <c r="D110" s="86">
        <f>(C127)*C110/100</f>
        <v>227.477204366068</v>
      </c>
      <c r="E110" s="34"/>
    </row>
    <row r="111" spans="1:5" ht="15">
      <c r="A111" s="164" t="s">
        <v>240</v>
      </c>
      <c r="B111" s="183" t="s">
        <v>322</v>
      </c>
      <c r="C111" s="184">
        <v>3.06</v>
      </c>
      <c r="D111" s="86">
        <f>(C127+D110)*C111/100</f>
        <v>162.68345242232</v>
      </c>
      <c r="E111" s="34"/>
    </row>
    <row r="112" spans="1:5" ht="15">
      <c r="A112" s="164" t="s">
        <v>242</v>
      </c>
      <c r="B112" s="183" t="s">
        <v>323</v>
      </c>
      <c r="C112" s="184"/>
      <c r="D112" s="86"/>
      <c r="E112" s="34"/>
    </row>
    <row r="113" spans="1:5" ht="15">
      <c r="A113" s="164"/>
      <c r="B113" s="183" t="s">
        <v>324</v>
      </c>
      <c r="C113" s="184">
        <f>3+0.65</f>
        <v>3.65</v>
      </c>
      <c r="D113" s="86">
        <f>((C127+D110+D111)/(1-(C113+C115)/100))*C113/100</f>
        <v>218.925527452238</v>
      </c>
      <c r="E113" s="34"/>
    </row>
    <row r="114" spans="1:5" ht="15">
      <c r="A114" s="164"/>
      <c r="B114" s="183" t="s">
        <v>325</v>
      </c>
      <c r="C114" s="184"/>
      <c r="D114" s="86"/>
      <c r="E114" s="34"/>
    </row>
    <row r="115" spans="1:5" ht="15">
      <c r="A115" s="164"/>
      <c r="B115" s="183" t="s">
        <v>326</v>
      </c>
      <c r="C115" s="185">
        <v>5</v>
      </c>
      <c r="D115" s="86">
        <f>((C127+D110+D111)/(1-(C113+C115)/100))*C115/100</f>
        <v>299.897982811285</v>
      </c>
      <c r="E115" s="34"/>
    </row>
    <row r="116" spans="1:5" ht="15">
      <c r="A116" s="164"/>
      <c r="B116" s="183" t="s">
        <v>327</v>
      </c>
      <c r="C116" s="184"/>
      <c r="D116" s="86"/>
      <c r="E116" s="34"/>
    </row>
    <row r="117" spans="1:5" ht="15.75">
      <c r="A117" s="186"/>
      <c r="B117" s="150" t="s">
        <v>81</v>
      </c>
      <c r="C117" s="187">
        <f>SUM(C110:C116)</f>
        <v>16.18</v>
      </c>
      <c r="D117" s="111">
        <f>SUM(D110:D116)</f>
        <v>908.984167051911</v>
      </c>
      <c r="E117" s="34"/>
    </row>
    <row r="118" spans="1:5" ht="15">
      <c r="A118" s="178"/>
      <c r="B118" s="179"/>
      <c r="C118" s="180"/>
      <c r="D118" s="180"/>
      <c r="E118" s="34"/>
    </row>
    <row r="119" spans="1:5" ht="15">
      <c r="A119" s="188" t="s">
        <v>328</v>
      </c>
      <c r="B119" s="188"/>
      <c r="C119" s="188"/>
      <c r="D119" s="189"/>
      <c r="E119" s="159"/>
    </row>
    <row r="120" spans="1:5" ht="15.75">
      <c r="A120" s="34"/>
      <c r="B120" s="189"/>
      <c r="C120" s="34"/>
      <c r="D120" s="34"/>
      <c r="E120" s="159"/>
    </row>
    <row r="121" spans="1:5" ht="15">
      <c r="A121" s="114"/>
      <c r="B121" s="190" t="s">
        <v>329</v>
      </c>
      <c r="C121" s="191" t="s">
        <v>237</v>
      </c>
      <c r="D121" s="159"/>
      <c r="E121" s="159"/>
    </row>
    <row r="122" spans="1:5" ht="15">
      <c r="A122" s="82" t="s">
        <v>238</v>
      </c>
      <c r="B122" s="183" t="s">
        <v>330</v>
      </c>
      <c r="C122" s="86">
        <f>C29</f>
        <v>2353.884</v>
      </c>
      <c r="D122" s="159"/>
      <c r="E122" s="159"/>
    </row>
    <row r="123" spans="1:5" ht="15">
      <c r="A123" s="82" t="s">
        <v>240</v>
      </c>
      <c r="B123" s="183" t="s">
        <v>331</v>
      </c>
      <c r="C123" s="86">
        <f>C66</f>
        <v>2163.560262</v>
      </c>
      <c r="D123" s="159"/>
      <c r="E123" s="159"/>
    </row>
    <row r="124" spans="1:5" ht="15">
      <c r="A124" s="82" t="s">
        <v>242</v>
      </c>
      <c r="B124" s="183" t="s">
        <v>332</v>
      </c>
      <c r="C124" s="86">
        <f>C76</f>
        <v>156.2485052674</v>
      </c>
      <c r="D124" s="159"/>
      <c r="E124" s="159"/>
    </row>
    <row r="125" spans="1:5" ht="15">
      <c r="A125" s="82" t="s">
        <v>244</v>
      </c>
      <c r="B125" s="183" t="s">
        <v>333</v>
      </c>
      <c r="C125" s="86">
        <f>C98</f>
        <v>59.3095659540089</v>
      </c>
      <c r="D125" s="159"/>
      <c r="E125" s="159"/>
    </row>
    <row r="126" spans="1:5" ht="15">
      <c r="A126" s="82" t="s">
        <v>246</v>
      </c>
      <c r="B126" s="183" t="s">
        <v>334</v>
      </c>
      <c r="C126" s="86">
        <f>C106</f>
        <v>355.973155952381</v>
      </c>
      <c r="D126" s="159"/>
      <c r="E126" s="159"/>
    </row>
    <row r="127" spans="1:5" ht="15">
      <c r="A127" s="82"/>
      <c r="B127" s="182" t="s">
        <v>335</v>
      </c>
      <c r="C127" s="192">
        <f>SUM(C122:C126)</f>
        <v>5088.97548917379</v>
      </c>
      <c r="D127" s="159"/>
      <c r="E127" s="159"/>
    </row>
    <row r="128" spans="1:5" ht="15">
      <c r="A128" s="82" t="s">
        <v>248</v>
      </c>
      <c r="B128" s="183" t="s">
        <v>336</v>
      </c>
      <c r="C128" s="86">
        <f>D117</f>
        <v>908.984167051911</v>
      </c>
      <c r="D128" s="159"/>
      <c r="E128" s="159"/>
    </row>
    <row r="129" spans="1:5" ht="15">
      <c r="A129" s="82"/>
      <c r="B129" s="145" t="s">
        <v>337</v>
      </c>
      <c r="C129" s="192">
        <f>SUM(C127:C128)</f>
        <v>5997.9596562257</v>
      </c>
      <c r="D129" s="159"/>
      <c r="E129" s="159"/>
    </row>
    <row r="130" spans="1:5" ht="15">
      <c r="A130" s="198"/>
      <c r="B130" s="145" t="s">
        <v>338</v>
      </c>
      <c r="C130" s="90">
        <f>2*C129</f>
        <v>11995.9193124514</v>
      </c>
      <c r="D130" s="159"/>
      <c r="E130" s="159"/>
    </row>
    <row r="131" spans="1:5" ht="15.75">
      <c r="A131" s="76"/>
      <c r="B131" s="193" t="s">
        <v>339</v>
      </c>
      <c r="C131" s="194">
        <f>C129/C29</f>
        <v>2.54811182548745</v>
      </c>
      <c r="D131" s="159"/>
      <c r="E131" s="159"/>
    </row>
    <row r="132" spans="1:5" ht="15">
      <c r="A132" s="34"/>
      <c r="B132" s="189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">
      <c r="A134" s="181"/>
      <c r="B134" s="81" t="s">
        <v>340</v>
      </c>
      <c r="C134" s="81"/>
      <c r="D134" s="81"/>
      <c r="E134" s="34"/>
    </row>
    <row r="135" spans="1:5" ht="15">
      <c r="A135" s="162">
        <v>6</v>
      </c>
      <c r="B135" s="145" t="s">
        <v>320</v>
      </c>
      <c r="C135" s="182" t="s">
        <v>263</v>
      </c>
      <c r="D135" s="146" t="s">
        <v>237</v>
      </c>
      <c r="E135" s="34"/>
    </row>
    <row r="136" spans="1:5" ht="15">
      <c r="A136" s="164" t="s">
        <v>238</v>
      </c>
      <c r="B136" s="183" t="s">
        <v>321</v>
      </c>
      <c r="C136" s="184">
        <v>4.47</v>
      </c>
      <c r="D136" s="86">
        <f>(C153)*C136/100</f>
        <v>227.477204366068</v>
      </c>
      <c r="E136" s="34"/>
    </row>
    <row r="137" spans="1:5" ht="15">
      <c r="A137" s="164" t="s">
        <v>240</v>
      </c>
      <c r="B137" s="183" t="s">
        <v>322</v>
      </c>
      <c r="C137" s="184">
        <v>3.06</v>
      </c>
      <c r="D137" s="86">
        <f>(C153+D136)*C137/100</f>
        <v>162.68345242232</v>
      </c>
      <c r="E137" s="34"/>
    </row>
    <row r="138" spans="1:5" ht="15">
      <c r="A138" s="164" t="s">
        <v>242</v>
      </c>
      <c r="B138" s="183" t="s">
        <v>323</v>
      </c>
      <c r="C138" s="184"/>
      <c r="D138" s="86"/>
      <c r="E138" s="34"/>
    </row>
    <row r="139" spans="1:5" ht="15">
      <c r="A139" s="164"/>
      <c r="B139" s="183" t="s">
        <v>341</v>
      </c>
      <c r="C139" s="107">
        <f>1.65+7.6</f>
        <v>9.25</v>
      </c>
      <c r="D139" s="86">
        <f>((C153+D136+D137)/(1-(C139+C141)/100))*C139/100</f>
        <v>591.043840818077</v>
      </c>
      <c r="E139" s="34"/>
    </row>
    <row r="140" spans="1:5" ht="15">
      <c r="A140" s="164"/>
      <c r="B140" s="183" t="s">
        <v>325</v>
      </c>
      <c r="C140" s="184"/>
      <c r="D140" s="86"/>
      <c r="E140" s="34"/>
    </row>
    <row r="141" spans="1:5" ht="15">
      <c r="A141" s="164"/>
      <c r="B141" s="183" t="s">
        <v>326</v>
      </c>
      <c r="C141" s="185">
        <v>5</v>
      </c>
      <c r="D141" s="86">
        <f>((C153+D136+D137)/(1-(C139+C141)/100))*C141/100</f>
        <v>319.483157198961</v>
      </c>
      <c r="E141" s="34"/>
    </row>
    <row r="142" spans="1:5" ht="15">
      <c r="A142" s="164"/>
      <c r="B142" s="183" t="s">
        <v>327</v>
      </c>
      <c r="C142" s="184"/>
      <c r="D142" s="86"/>
      <c r="E142" s="34"/>
    </row>
    <row r="143" spans="1:5" ht="15.75">
      <c r="A143" s="186"/>
      <c r="B143" s="150" t="s">
        <v>81</v>
      </c>
      <c r="C143" s="187">
        <f>SUM(C136:C142)</f>
        <v>21.78</v>
      </c>
      <c r="D143" s="111">
        <f>SUM(D136:D142)</f>
        <v>1300.68765480543</v>
      </c>
      <c r="E143" s="34"/>
    </row>
    <row r="144" spans="1:5" ht="15">
      <c r="A144" s="112"/>
      <c r="B144" s="112"/>
      <c r="C144" s="112"/>
      <c r="D144" s="112"/>
      <c r="E144" s="34"/>
    </row>
    <row r="145" spans="1:5" ht="15">
      <c r="A145" s="195" t="s">
        <v>328</v>
      </c>
      <c r="B145" s="195"/>
      <c r="C145" s="195"/>
      <c r="D145" s="196"/>
      <c r="E145" s="34"/>
    </row>
    <row r="146" spans="1:5" ht="15.75">
      <c r="A146" s="112"/>
      <c r="B146" s="197"/>
      <c r="C146" s="112"/>
      <c r="D146" s="196"/>
      <c r="E146" s="34"/>
    </row>
    <row r="147" spans="1:5" ht="15">
      <c r="A147" s="114"/>
      <c r="B147" s="190" t="s">
        <v>329</v>
      </c>
      <c r="C147" s="191" t="s">
        <v>237</v>
      </c>
      <c r="D147" s="196"/>
      <c r="E147" s="34"/>
    </row>
    <row r="148" spans="1:5" ht="15">
      <c r="A148" s="82" t="s">
        <v>238</v>
      </c>
      <c r="B148" s="183" t="s">
        <v>330</v>
      </c>
      <c r="C148" s="86">
        <f>C122</f>
        <v>2353.884</v>
      </c>
      <c r="D148" s="196"/>
      <c r="E148" s="34"/>
    </row>
    <row r="149" spans="1:5" ht="15">
      <c r="A149" s="82" t="s">
        <v>240</v>
      </c>
      <c r="B149" s="183" t="s">
        <v>331</v>
      </c>
      <c r="C149" s="86">
        <f>C123</f>
        <v>2163.560262</v>
      </c>
      <c r="D149" s="196"/>
      <c r="E149" s="34"/>
    </row>
    <row r="150" spans="1:5" ht="15">
      <c r="A150" s="82" t="s">
        <v>242</v>
      </c>
      <c r="B150" s="183" t="s">
        <v>332</v>
      </c>
      <c r="C150" s="86">
        <f>C124</f>
        <v>156.2485052674</v>
      </c>
      <c r="D150" s="196"/>
      <c r="E150" s="34"/>
    </row>
    <row r="151" spans="1:5" ht="15">
      <c r="A151" s="82" t="s">
        <v>244</v>
      </c>
      <c r="B151" s="183" t="s">
        <v>333</v>
      </c>
      <c r="C151" s="86">
        <f>C125</f>
        <v>59.3095659540089</v>
      </c>
      <c r="D151" s="196"/>
      <c r="E151" s="34"/>
    </row>
    <row r="152" spans="1:5" ht="15">
      <c r="A152" s="82" t="s">
        <v>246</v>
      </c>
      <c r="B152" s="183" t="s">
        <v>334</v>
      </c>
      <c r="C152" s="86">
        <f>C126</f>
        <v>355.973155952381</v>
      </c>
      <c r="D152" s="196"/>
      <c r="E152" s="34"/>
    </row>
    <row r="153" spans="1:5" ht="15">
      <c r="A153" s="82"/>
      <c r="B153" s="182" t="s">
        <v>335</v>
      </c>
      <c r="C153" s="192">
        <f>SUM(C148:C152)</f>
        <v>5088.97548917379</v>
      </c>
      <c r="D153" s="196"/>
      <c r="E153" s="34"/>
    </row>
    <row r="154" spans="1:5" ht="15">
      <c r="A154" s="82" t="s">
        <v>248</v>
      </c>
      <c r="B154" s="183" t="s">
        <v>336</v>
      </c>
      <c r="C154" s="86">
        <f>D143</f>
        <v>1300.68765480543</v>
      </c>
      <c r="D154" s="196"/>
      <c r="E154" s="34"/>
    </row>
    <row r="155" spans="1:5" ht="15">
      <c r="A155" s="82"/>
      <c r="B155" s="145" t="s">
        <v>337</v>
      </c>
      <c r="C155" s="192">
        <f>SUM(C153:C154)</f>
        <v>6389.66314397922</v>
      </c>
      <c r="D155" s="196"/>
      <c r="E155" s="34"/>
    </row>
    <row r="156" spans="1:5" ht="15">
      <c r="A156" s="198"/>
      <c r="B156" s="145" t="s">
        <v>338</v>
      </c>
      <c r="C156" s="90">
        <f>2*C155</f>
        <v>12779.3262879584</v>
      </c>
      <c r="D156" s="196"/>
      <c r="E156" s="34"/>
    </row>
    <row r="157" spans="1:5" ht="15.75">
      <c r="A157" s="76"/>
      <c r="B157" s="193" t="s">
        <v>339</v>
      </c>
      <c r="C157" s="194">
        <f>C155/C29</f>
        <v>2.71451912837643</v>
      </c>
      <c r="D157" s="196"/>
      <c r="E157" s="34"/>
    </row>
  </sheetData>
  <mergeCells count="24">
    <mergeCell ref="A1:E1"/>
    <mergeCell ref="A2:E2"/>
    <mergeCell ref="A4:E4"/>
    <mergeCell ref="A5:E5"/>
    <mergeCell ref="B7:E7"/>
    <mergeCell ref="B9:E9"/>
    <mergeCell ref="C11:E11"/>
    <mergeCell ref="C12:E12"/>
    <mergeCell ref="C13:E13"/>
    <mergeCell ref="C14:E14"/>
    <mergeCell ref="C15:E15"/>
    <mergeCell ref="C16:E16"/>
    <mergeCell ref="C17:E17"/>
    <mergeCell ref="C18:E18"/>
    <mergeCell ref="A21:C21"/>
    <mergeCell ref="B30:D30"/>
    <mergeCell ref="B31:C31"/>
    <mergeCell ref="B32:C32"/>
    <mergeCell ref="A39:D39"/>
    <mergeCell ref="B89:C89"/>
    <mergeCell ref="B108:D108"/>
    <mergeCell ref="A119:C119"/>
    <mergeCell ref="B134:D134"/>
    <mergeCell ref="A145:C145"/>
  </mergeCells>
  <printOptions/>
  <pageMargins left="0.511811024" right="0.511811024" top="0.787401575" bottom="0.787401575" header="0.31496062" footer="0.31496062"/>
  <pageSetup horizontalDpi="600" verticalDpi="600" orientation="portrait" paperSize="9" scale="84"/>
  <headerFooter>
    <oddHeader>&amp;L&amp;G&amp;CProcesso 23069.167552/2021-41
PE 88/2021&amp;R&amp;G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57"/>
  <sheetViews>
    <sheetView workbookViewId="0" topLeftCell="A1">
      <selection activeCell="A5" sqref="A5:E5"/>
    </sheetView>
  </sheetViews>
  <sheetFormatPr defaultColWidth="8.8515625" defaultRowHeight="15" outlineLevelCol="7"/>
  <cols>
    <col min="2" max="2" width="64.57421875" style="0" customWidth="1"/>
    <col min="3" max="3" width="12.28125" style="0" customWidth="1"/>
    <col min="4" max="4" width="10.7109375" style="0" customWidth="1"/>
    <col min="5" max="5" width="12.8515625" style="0" customWidth="1"/>
    <col min="6" max="6" width="14.00390625" style="0" customWidth="1"/>
    <col min="7" max="7" width="10.8515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8"/>
      <c r="G1" s="28"/>
    </row>
    <row r="2" spans="1:7" ht="18.75">
      <c r="A2" s="2" t="s">
        <v>1</v>
      </c>
      <c r="B2" s="2"/>
      <c r="C2" s="2"/>
      <c r="D2" s="2"/>
      <c r="E2" s="2"/>
      <c r="F2" s="29"/>
      <c r="G2" s="29"/>
    </row>
    <row r="4" spans="1:8" ht="14.4" customHeight="1">
      <c r="A4" s="30" t="s">
        <v>348</v>
      </c>
      <c r="B4" s="30"/>
      <c r="C4" s="30"/>
      <c r="D4" s="30"/>
      <c r="E4" s="30"/>
      <c r="F4" s="31"/>
      <c r="G4" s="31"/>
      <c r="H4" s="4"/>
    </row>
    <row r="5" spans="1:8" ht="38.4" customHeight="1">
      <c r="A5" s="32" t="s">
        <v>5</v>
      </c>
      <c r="B5" s="32"/>
      <c r="C5" s="32"/>
      <c r="D5" s="32"/>
      <c r="E5" s="32"/>
      <c r="F5" s="33"/>
      <c r="G5" s="33"/>
      <c r="H5" s="6"/>
    </row>
    <row r="7" spans="1:5" ht="15">
      <c r="A7" s="34"/>
      <c r="B7" s="35" t="s">
        <v>349</v>
      </c>
      <c r="C7" s="35"/>
      <c r="D7" s="35"/>
      <c r="E7" s="35"/>
    </row>
    <row r="8" spans="1:5" ht="15">
      <c r="A8" s="34"/>
      <c r="B8" s="34"/>
      <c r="C8" s="34"/>
      <c r="D8" s="34"/>
      <c r="E8" s="34"/>
    </row>
    <row r="9" spans="1:5" ht="15">
      <c r="A9" s="34"/>
      <c r="B9" s="36" t="s">
        <v>221</v>
      </c>
      <c r="C9" s="36"/>
      <c r="D9" s="36"/>
      <c r="E9" s="36"/>
    </row>
    <row r="10" spans="1:5" ht="15.75">
      <c r="A10" s="34"/>
      <c r="B10" s="37" t="s">
        <v>222</v>
      </c>
      <c r="C10" s="38"/>
      <c r="D10" s="38"/>
      <c r="E10" s="38"/>
    </row>
    <row r="11" spans="1:5" ht="15">
      <c r="A11" s="34"/>
      <c r="B11" s="39" t="s">
        <v>223</v>
      </c>
      <c r="C11" s="40" t="s">
        <v>350</v>
      </c>
      <c r="D11" s="41"/>
      <c r="E11" s="42"/>
    </row>
    <row r="12" spans="1:5" ht="15">
      <c r="A12" s="34"/>
      <c r="B12" s="43" t="s">
        <v>225</v>
      </c>
      <c r="C12" s="44">
        <v>15.21</v>
      </c>
      <c r="D12" s="45"/>
      <c r="E12" s="46"/>
    </row>
    <row r="13" spans="1:5" ht="15">
      <c r="A13" s="34"/>
      <c r="B13" s="43" t="s">
        <v>226</v>
      </c>
      <c r="C13" s="47" t="s">
        <v>227</v>
      </c>
      <c r="D13" s="48"/>
      <c r="E13" s="49"/>
    </row>
    <row r="14" spans="1:5" ht="15">
      <c r="A14" s="34"/>
      <c r="B14" s="43" t="s">
        <v>228</v>
      </c>
      <c r="C14" s="50">
        <v>1810.68</v>
      </c>
      <c r="D14" s="51"/>
      <c r="E14" s="52"/>
    </row>
    <row r="15" spans="1:5" ht="15">
      <c r="A15" s="34"/>
      <c r="B15" s="43" t="s">
        <v>229</v>
      </c>
      <c r="C15" s="44" t="s">
        <v>230</v>
      </c>
      <c r="D15" s="45"/>
      <c r="E15" s="46"/>
    </row>
    <row r="16" spans="1:5" ht="15">
      <c r="A16" s="34"/>
      <c r="B16" s="43" t="s">
        <v>231</v>
      </c>
      <c r="C16" s="53">
        <v>8</v>
      </c>
      <c r="D16" s="54"/>
      <c r="E16" s="55"/>
    </row>
    <row r="17" spans="1:5" ht="15">
      <c r="A17" s="34"/>
      <c r="B17" s="43" t="s">
        <v>232</v>
      </c>
      <c r="C17" s="56">
        <v>43831</v>
      </c>
      <c r="D17" s="57"/>
      <c r="E17" s="58"/>
    </row>
    <row r="18" spans="1:5" ht="15.75">
      <c r="A18" s="34"/>
      <c r="B18" s="59" t="s">
        <v>233</v>
      </c>
      <c r="C18" s="60" t="s">
        <v>234</v>
      </c>
      <c r="D18" s="61"/>
      <c r="E18" s="62"/>
    </row>
    <row r="19" spans="1:5" ht="15">
      <c r="A19" s="34"/>
      <c r="B19" s="34"/>
      <c r="C19" s="63"/>
      <c r="D19" s="64"/>
      <c r="E19" s="64"/>
    </row>
    <row r="20" spans="1:5" ht="15.75">
      <c r="A20" s="34"/>
      <c r="B20" s="34"/>
      <c r="C20" s="64"/>
      <c r="D20" s="64"/>
      <c r="E20" s="64"/>
    </row>
    <row r="21" spans="1:5" ht="15">
      <c r="A21" s="65" t="s">
        <v>235</v>
      </c>
      <c r="B21" s="65"/>
      <c r="C21" s="65"/>
      <c r="D21" s="64"/>
      <c r="E21" s="64"/>
    </row>
    <row r="22" spans="1:5" ht="15">
      <c r="A22" s="66">
        <v>1</v>
      </c>
      <c r="B22" s="67" t="s">
        <v>236</v>
      </c>
      <c r="C22" s="68" t="s">
        <v>237</v>
      </c>
      <c r="D22" s="64"/>
      <c r="E22" s="64"/>
    </row>
    <row r="23" spans="1:5" ht="15">
      <c r="A23" s="69" t="s">
        <v>238</v>
      </c>
      <c r="B23" s="70" t="s">
        <v>239</v>
      </c>
      <c r="C23" s="71">
        <f>C14</f>
        <v>1810.68</v>
      </c>
      <c r="D23" s="64"/>
      <c r="E23" s="64"/>
    </row>
    <row r="24" spans="1:5" ht="15">
      <c r="A24" s="69" t="s">
        <v>240</v>
      </c>
      <c r="B24" s="70" t="s">
        <v>241</v>
      </c>
      <c r="C24" s="72">
        <f>30%*C23</f>
        <v>543.204</v>
      </c>
      <c r="D24" s="64"/>
      <c r="E24" s="64"/>
    </row>
    <row r="25" spans="1:5" ht="15">
      <c r="A25" s="69" t="s">
        <v>242</v>
      </c>
      <c r="B25" s="70" t="s">
        <v>243</v>
      </c>
      <c r="C25" s="72"/>
      <c r="D25" s="64"/>
      <c r="E25" s="34"/>
    </row>
    <row r="26" spans="1:5" ht="15">
      <c r="A26" s="69" t="s">
        <v>244</v>
      </c>
      <c r="B26" s="73" t="s">
        <v>245</v>
      </c>
      <c r="C26" s="72">
        <f>(C14/220)*20%*(1.1429*7)*C12</f>
        <v>200.3016404844</v>
      </c>
      <c r="D26" s="64"/>
      <c r="E26" s="34"/>
    </row>
    <row r="27" spans="1:5" ht="15">
      <c r="A27" s="69" t="s">
        <v>246</v>
      </c>
      <c r="B27" s="73" t="s">
        <v>247</v>
      </c>
      <c r="C27" s="72"/>
      <c r="D27" s="64"/>
      <c r="E27" s="34"/>
    </row>
    <row r="28" spans="1:5" ht="15">
      <c r="A28" s="69" t="s">
        <v>248</v>
      </c>
      <c r="B28" s="74" t="s">
        <v>249</v>
      </c>
      <c r="C28" s="75"/>
      <c r="D28" s="64"/>
      <c r="E28" s="34"/>
    </row>
    <row r="29" spans="1:5" ht="15.75">
      <c r="A29" s="76"/>
      <c r="B29" s="77" t="s">
        <v>250</v>
      </c>
      <c r="C29" s="78">
        <f>SUM(C23:C28)</f>
        <v>2554.1856404844</v>
      </c>
      <c r="D29" s="64"/>
      <c r="E29" s="34"/>
    </row>
    <row r="30" spans="1:5" ht="15.75">
      <c r="A30" s="34"/>
      <c r="B30" s="79"/>
      <c r="C30" s="79"/>
      <c r="D30" s="79"/>
      <c r="E30" s="64"/>
    </row>
    <row r="31" spans="1:5" ht="15">
      <c r="A31" s="80"/>
      <c r="B31" s="81" t="s">
        <v>251</v>
      </c>
      <c r="C31" s="81"/>
      <c r="D31" s="64"/>
      <c r="E31" s="34"/>
    </row>
    <row r="32" spans="1:5" ht="15">
      <c r="A32" s="82"/>
      <c r="B32" s="83" t="s">
        <v>252</v>
      </c>
      <c r="C32" s="83"/>
      <c r="D32" s="64"/>
      <c r="E32" s="34"/>
    </row>
    <row r="33" spans="1:5" ht="15">
      <c r="A33" s="66" t="s">
        <v>253</v>
      </c>
      <c r="B33" s="84" t="s">
        <v>254</v>
      </c>
      <c r="C33" s="68" t="s">
        <v>255</v>
      </c>
      <c r="D33" s="64"/>
      <c r="E33" s="34"/>
    </row>
    <row r="34" spans="1:5" ht="15">
      <c r="A34" s="69" t="s">
        <v>238</v>
      </c>
      <c r="B34" s="85" t="s">
        <v>256</v>
      </c>
      <c r="C34" s="86">
        <f>C29*8.33%</f>
        <v>212.763663852351</v>
      </c>
      <c r="D34" s="64"/>
      <c r="E34" s="34"/>
    </row>
    <row r="35" spans="1:5" ht="15">
      <c r="A35" s="69" t="s">
        <v>240</v>
      </c>
      <c r="B35" s="85" t="s">
        <v>257</v>
      </c>
      <c r="C35" s="86">
        <f>C29*12.1%</f>
        <v>309.056462498612</v>
      </c>
      <c r="D35" s="87"/>
      <c r="E35" s="34"/>
    </row>
    <row r="36" spans="1:5" ht="15">
      <c r="A36" s="88"/>
      <c r="B36" s="89" t="s">
        <v>258</v>
      </c>
      <c r="C36" s="90">
        <f>SUM(C34:C35)</f>
        <v>521.820126350963</v>
      </c>
      <c r="D36" s="91"/>
      <c r="E36" s="34"/>
    </row>
    <row r="37" spans="1:5" ht="36">
      <c r="A37" s="92" t="s">
        <v>242</v>
      </c>
      <c r="B37" s="93" t="s">
        <v>259</v>
      </c>
      <c r="C37" s="94">
        <f>C29*7.82%</f>
        <v>199.73731708588</v>
      </c>
      <c r="D37" s="91"/>
      <c r="E37" s="34"/>
    </row>
    <row r="38" spans="1:5" ht="15.75">
      <c r="A38" s="34"/>
      <c r="B38" s="34"/>
      <c r="C38" s="34"/>
      <c r="D38" s="34"/>
      <c r="E38" s="64"/>
    </row>
    <row r="39" spans="1:5" ht="32.4" customHeight="1">
      <c r="A39" s="95" t="s">
        <v>260</v>
      </c>
      <c r="B39" s="95"/>
      <c r="C39" s="95"/>
      <c r="D39" s="95"/>
      <c r="E39" s="64"/>
    </row>
    <row r="40" spans="1:5" ht="15.75">
      <c r="A40" s="96" t="s">
        <v>261</v>
      </c>
      <c r="B40" s="97" t="s">
        <v>262</v>
      </c>
      <c r="C40" s="98" t="s">
        <v>263</v>
      </c>
      <c r="D40" s="99" t="s">
        <v>237</v>
      </c>
      <c r="E40" s="64"/>
    </row>
    <row r="41" spans="1:5" ht="15.75">
      <c r="A41" s="100" t="s">
        <v>238</v>
      </c>
      <c r="B41" s="101" t="s">
        <v>264</v>
      </c>
      <c r="C41" s="102">
        <v>20</v>
      </c>
      <c r="D41" s="103">
        <f>(C$29*(C41/100))</f>
        <v>510.83712809688</v>
      </c>
      <c r="E41" s="64"/>
    </row>
    <row r="42" spans="1:5" ht="15.75">
      <c r="A42" s="100" t="s">
        <v>240</v>
      </c>
      <c r="B42" s="104" t="s">
        <v>265</v>
      </c>
      <c r="C42" s="105">
        <v>2.5</v>
      </c>
      <c r="D42" s="103">
        <f aca="true" t="shared" si="0" ref="D42:D48">(C$29*(C42/100))</f>
        <v>63.85464101211</v>
      </c>
      <c r="E42" s="64"/>
    </row>
    <row r="43" spans="1:5" ht="15.75">
      <c r="A43" s="100" t="s">
        <v>242</v>
      </c>
      <c r="B43" s="106" t="s">
        <v>266</v>
      </c>
      <c r="C43" s="107">
        <v>6</v>
      </c>
      <c r="D43" s="103">
        <f t="shared" si="0"/>
        <v>153.251138429064</v>
      </c>
      <c r="E43" s="64"/>
    </row>
    <row r="44" spans="1:5" ht="15.75">
      <c r="A44" s="100" t="s">
        <v>244</v>
      </c>
      <c r="B44" s="104" t="s">
        <v>267</v>
      </c>
      <c r="C44" s="105">
        <v>1.5</v>
      </c>
      <c r="D44" s="103">
        <f t="shared" si="0"/>
        <v>38.312784607266</v>
      </c>
      <c r="E44" s="64"/>
    </row>
    <row r="45" spans="1:5" ht="15.75">
      <c r="A45" s="100" t="s">
        <v>246</v>
      </c>
      <c r="B45" s="104" t="s">
        <v>268</v>
      </c>
      <c r="C45" s="105">
        <v>1</v>
      </c>
      <c r="D45" s="103">
        <f t="shared" si="0"/>
        <v>25.541856404844</v>
      </c>
      <c r="E45" s="64"/>
    </row>
    <row r="46" spans="1:5" ht="15.75">
      <c r="A46" s="100" t="s">
        <v>248</v>
      </c>
      <c r="B46" s="104" t="s">
        <v>269</v>
      </c>
      <c r="C46" s="105">
        <v>0.6</v>
      </c>
      <c r="D46" s="103">
        <f t="shared" si="0"/>
        <v>15.3251138429064</v>
      </c>
      <c r="E46" s="64"/>
    </row>
    <row r="47" spans="1:5" ht="15.75">
      <c r="A47" s="100" t="s">
        <v>270</v>
      </c>
      <c r="B47" s="104" t="s">
        <v>271</v>
      </c>
      <c r="C47" s="105">
        <v>0.2</v>
      </c>
      <c r="D47" s="103">
        <f t="shared" si="0"/>
        <v>5.1083712809688</v>
      </c>
      <c r="E47" s="64"/>
    </row>
    <row r="48" spans="1:5" ht="15">
      <c r="A48" s="100" t="s">
        <v>272</v>
      </c>
      <c r="B48" s="106" t="s">
        <v>273</v>
      </c>
      <c r="C48" s="107">
        <v>8</v>
      </c>
      <c r="D48" s="103">
        <f t="shared" si="0"/>
        <v>204.334851238752</v>
      </c>
      <c r="E48" s="64"/>
    </row>
    <row r="49" spans="1:5" ht="15.75">
      <c r="A49" s="108"/>
      <c r="B49" s="109" t="s">
        <v>81</v>
      </c>
      <c r="C49" s="110">
        <f>SUM(C41:C48)</f>
        <v>39.8</v>
      </c>
      <c r="D49" s="111">
        <f>SUM(D41:D48)</f>
        <v>1016.56588491279</v>
      </c>
      <c r="E49" s="64"/>
    </row>
    <row r="50" spans="1:5" ht="15">
      <c r="A50" s="112"/>
      <c r="B50" s="113" t="s">
        <v>274</v>
      </c>
      <c r="C50" s="112"/>
      <c r="D50" s="112"/>
      <c r="E50" s="64"/>
    </row>
    <row r="51" spans="1:5" ht="15.75">
      <c r="A51" s="112"/>
      <c r="B51" s="113"/>
      <c r="C51" s="112"/>
      <c r="D51" s="112"/>
      <c r="E51" s="64"/>
    </row>
    <row r="52" spans="1:5" ht="15">
      <c r="A52" s="114"/>
      <c r="B52" s="115" t="s">
        <v>275</v>
      </c>
      <c r="C52" s="116"/>
      <c r="D52" s="64"/>
      <c r="E52" s="34"/>
    </row>
    <row r="53" spans="1:5" ht="15">
      <c r="A53" s="66" t="s">
        <v>276</v>
      </c>
      <c r="B53" s="67" t="s">
        <v>277</v>
      </c>
      <c r="C53" s="68" t="s">
        <v>237</v>
      </c>
      <c r="D53" s="64"/>
      <c r="E53" s="34"/>
    </row>
    <row r="54" spans="1:5" ht="15">
      <c r="A54" s="69" t="s">
        <v>238</v>
      </c>
      <c r="B54" s="117" t="s">
        <v>278</v>
      </c>
      <c r="C54" s="72">
        <f>(4.05*4*C12)-6%*C14</f>
        <v>137.7612</v>
      </c>
      <c r="D54" s="64"/>
      <c r="E54" s="34"/>
    </row>
    <row r="55" spans="1:5" ht="15">
      <c r="A55" s="69" t="s">
        <v>240</v>
      </c>
      <c r="B55" s="70" t="s">
        <v>279</v>
      </c>
      <c r="C55" s="72">
        <f>((29*C12)-(29*C12*10%))</f>
        <v>396.981</v>
      </c>
      <c r="D55" s="64"/>
      <c r="E55" s="34"/>
    </row>
    <row r="56" spans="1:5" ht="15">
      <c r="A56" s="69" t="s">
        <v>242</v>
      </c>
      <c r="B56" s="70" t="s">
        <v>280</v>
      </c>
      <c r="C56" s="72"/>
      <c r="D56" s="64"/>
      <c r="E56" s="34"/>
    </row>
    <row r="57" spans="1:5" ht="15">
      <c r="A57" s="69" t="s">
        <v>281</v>
      </c>
      <c r="B57" s="70" t="s">
        <v>282</v>
      </c>
      <c r="C57" s="72">
        <v>27</v>
      </c>
      <c r="D57" s="64"/>
      <c r="E57" s="34"/>
    </row>
    <row r="58" spans="1:5" ht="15">
      <c r="A58" s="88" t="s">
        <v>283</v>
      </c>
      <c r="B58" s="118" t="s">
        <v>284</v>
      </c>
      <c r="C58" s="119"/>
      <c r="D58" s="64"/>
      <c r="E58" s="34"/>
    </row>
    <row r="59" spans="1:5" ht="15.75">
      <c r="A59" s="76"/>
      <c r="B59" s="77" t="s">
        <v>285</v>
      </c>
      <c r="C59" s="78">
        <f>SUM(C54:C58)</f>
        <v>561.7422</v>
      </c>
      <c r="D59" s="64"/>
      <c r="E59" s="34"/>
    </row>
    <row r="60" spans="1:5" ht="15.75">
      <c r="A60" s="112"/>
      <c r="B60" s="120"/>
      <c r="C60" s="121"/>
      <c r="D60" s="122"/>
      <c r="E60" s="64"/>
    </row>
    <row r="61" spans="1:5" ht="15">
      <c r="A61" s="114"/>
      <c r="B61" s="123" t="s">
        <v>286</v>
      </c>
      <c r="C61" s="124"/>
      <c r="D61" s="64"/>
      <c r="E61" s="34"/>
    </row>
    <row r="62" spans="1:5" ht="15">
      <c r="A62" s="69">
        <v>2</v>
      </c>
      <c r="B62" s="125" t="s">
        <v>287</v>
      </c>
      <c r="C62" s="126" t="s">
        <v>255</v>
      </c>
      <c r="D62" s="64"/>
      <c r="E62" s="34"/>
    </row>
    <row r="63" spans="1:5" ht="15">
      <c r="A63" s="69" t="s">
        <v>253</v>
      </c>
      <c r="B63" s="70" t="s">
        <v>254</v>
      </c>
      <c r="C63" s="71">
        <f>C36</f>
        <v>521.820126350963</v>
      </c>
      <c r="D63" s="64"/>
      <c r="E63" s="34"/>
    </row>
    <row r="64" spans="1:5" ht="15">
      <c r="A64" s="69" t="s">
        <v>261</v>
      </c>
      <c r="B64" s="70" t="s">
        <v>262</v>
      </c>
      <c r="C64" s="71">
        <f>D49+C37</f>
        <v>1216.30320199867</v>
      </c>
      <c r="D64" s="64"/>
      <c r="E64" s="34"/>
    </row>
    <row r="65" spans="1:5" ht="15">
      <c r="A65" s="69" t="s">
        <v>276</v>
      </c>
      <c r="B65" s="70" t="s">
        <v>277</v>
      </c>
      <c r="C65" s="71">
        <f>C59</f>
        <v>561.7422</v>
      </c>
      <c r="D65" s="64"/>
      <c r="E65" s="34"/>
    </row>
    <row r="66" spans="1:5" ht="15.75">
      <c r="A66" s="76"/>
      <c r="B66" s="127" t="s">
        <v>258</v>
      </c>
      <c r="C66" s="78">
        <f>SUM(C63:C65)</f>
        <v>2299.86552834963</v>
      </c>
      <c r="D66" s="64"/>
      <c r="E66" s="34"/>
    </row>
    <row r="67" spans="1:5" ht="15.75">
      <c r="A67" s="34"/>
      <c r="B67" s="128"/>
      <c r="C67" s="122"/>
      <c r="D67" s="122"/>
      <c r="E67" s="64"/>
    </row>
    <row r="68" spans="1:5" ht="15">
      <c r="A68" s="129"/>
      <c r="B68" s="130" t="s">
        <v>288</v>
      </c>
      <c r="C68" s="131"/>
      <c r="D68" s="64"/>
      <c r="E68" s="34"/>
    </row>
    <row r="69" spans="1:5" ht="15">
      <c r="A69" s="132">
        <v>3</v>
      </c>
      <c r="B69" s="133" t="s">
        <v>289</v>
      </c>
      <c r="C69" s="134" t="s">
        <v>237</v>
      </c>
      <c r="D69" s="64"/>
      <c r="E69" s="34"/>
    </row>
    <row r="70" spans="1:5" ht="15">
      <c r="A70" s="135" t="s">
        <v>238</v>
      </c>
      <c r="B70" s="136" t="s">
        <v>290</v>
      </c>
      <c r="C70" s="137">
        <f>((C29+C34+C35)/12)*5%</f>
        <v>12.8166906951473</v>
      </c>
      <c r="D70" s="64"/>
      <c r="E70" s="34"/>
    </row>
    <row r="71" spans="1:5" ht="15">
      <c r="A71" s="135" t="s">
        <v>240</v>
      </c>
      <c r="B71" s="136" t="s">
        <v>291</v>
      </c>
      <c r="C71" s="138">
        <f>((C29+C34)/12)*5%*8%</f>
        <v>0.922316434778917</v>
      </c>
      <c r="D71" s="64"/>
      <c r="E71" s="34"/>
    </row>
    <row r="72" spans="1:5" ht="15">
      <c r="A72" s="135" t="s">
        <v>242</v>
      </c>
      <c r="B72" s="136" t="s">
        <v>292</v>
      </c>
      <c r="C72" s="138">
        <v>0</v>
      </c>
      <c r="D72" s="64"/>
      <c r="E72" s="34"/>
    </row>
    <row r="73" spans="1:5" ht="15">
      <c r="A73" s="135" t="s">
        <v>244</v>
      </c>
      <c r="B73" s="136" t="s">
        <v>293</v>
      </c>
      <c r="C73" s="138">
        <f>(((C29+C56)/30/12)*7)</f>
        <v>49.6647207871967</v>
      </c>
      <c r="D73" s="64"/>
      <c r="E73" s="34"/>
    </row>
    <row r="74" spans="1:5" ht="15">
      <c r="A74" s="135" t="s">
        <v>246</v>
      </c>
      <c r="B74" s="136" t="s">
        <v>294</v>
      </c>
      <c r="C74" s="139">
        <f>(C29/30/12*7)*8%</f>
        <v>3.97317766297573</v>
      </c>
      <c r="D74" s="64"/>
      <c r="E74" s="34"/>
    </row>
    <row r="75" spans="1:5" ht="15">
      <c r="A75" s="135" t="s">
        <v>248</v>
      </c>
      <c r="B75" s="136" t="s">
        <v>295</v>
      </c>
      <c r="C75" s="138">
        <f>C29*4%</f>
        <v>102.167425619376</v>
      </c>
      <c r="D75" s="64"/>
      <c r="E75" s="34"/>
    </row>
    <row r="76" spans="1:5" ht="15">
      <c r="A76" s="140"/>
      <c r="B76" s="133" t="s">
        <v>81</v>
      </c>
      <c r="C76" s="141">
        <f>SUM(C70:C75)</f>
        <v>169.544331199475</v>
      </c>
      <c r="D76" s="64"/>
      <c r="E76" s="34"/>
    </row>
    <row r="77" spans="1:5" ht="15.75">
      <c r="A77" s="34"/>
      <c r="B77" s="34"/>
      <c r="C77" s="34"/>
      <c r="D77" s="34"/>
      <c r="E77" s="64"/>
    </row>
    <row r="78" spans="1:5" ht="15">
      <c r="A78" s="80"/>
      <c r="B78" s="142" t="s">
        <v>296</v>
      </c>
      <c r="C78" s="143"/>
      <c r="D78" s="144"/>
      <c r="E78" s="34"/>
    </row>
    <row r="79" spans="1:5" ht="15">
      <c r="A79" s="82"/>
      <c r="B79" s="125" t="s">
        <v>297</v>
      </c>
      <c r="C79" s="68"/>
      <c r="D79" s="64"/>
      <c r="E79" s="34"/>
    </row>
    <row r="80" spans="1:5" ht="15">
      <c r="A80" s="66" t="s">
        <v>298</v>
      </c>
      <c r="B80" s="145" t="s">
        <v>299</v>
      </c>
      <c r="C80" s="146" t="s">
        <v>237</v>
      </c>
      <c r="D80" s="64"/>
      <c r="E80" s="34"/>
    </row>
    <row r="81" spans="1:5" ht="15">
      <c r="A81" s="69" t="s">
        <v>238</v>
      </c>
      <c r="B81" s="147" t="s">
        <v>300</v>
      </c>
      <c r="C81" s="148">
        <v>0</v>
      </c>
      <c r="D81" s="64"/>
      <c r="E81" s="34"/>
    </row>
    <row r="82" spans="1:5" ht="15">
      <c r="A82" s="69" t="s">
        <v>240</v>
      </c>
      <c r="B82" s="147" t="s">
        <v>301</v>
      </c>
      <c r="C82" s="148">
        <f>(((C29+C66+C76+C85+C106)-(C54-C55-C103-C104))/30*2.96)/12</f>
        <v>48.0448491861608</v>
      </c>
      <c r="D82" s="64"/>
      <c r="E82" s="34"/>
    </row>
    <row r="83" spans="1:5" ht="15">
      <c r="A83" s="69" t="s">
        <v>242</v>
      </c>
      <c r="B83" s="147" t="s">
        <v>302</v>
      </c>
      <c r="C83" s="148">
        <f>(((C29+C66+C76+C85+C106)-(C54-C55-C103-C104))/30*5*1.5%)/12</f>
        <v>1.21735259762232</v>
      </c>
      <c r="D83" s="64"/>
      <c r="E83" s="34"/>
    </row>
    <row r="84" spans="1:5" ht="15">
      <c r="A84" s="69" t="s">
        <v>244</v>
      </c>
      <c r="B84" s="147" t="s">
        <v>303</v>
      </c>
      <c r="C84" s="148">
        <f>(((C29+C66+C76+C85+C106)-(C54-C55-C103-C104))/30*15*0.78%)/12</f>
        <v>1.89907005229081</v>
      </c>
      <c r="D84" s="64"/>
      <c r="E84" s="34"/>
    </row>
    <row r="85" spans="1:5" ht="15">
      <c r="A85" s="69" t="s">
        <v>246</v>
      </c>
      <c r="B85" s="147" t="s">
        <v>304</v>
      </c>
      <c r="C85" s="148">
        <f>(((C35*3.95/12)+(C56*3.95*1.02%))/12+((C29+C34)*39.8%*3.95)*1.02%/12)</f>
        <v>12.1750233155173</v>
      </c>
      <c r="D85" s="91"/>
      <c r="E85" s="34"/>
    </row>
    <row r="86" spans="1:5" ht="15">
      <c r="A86" s="69" t="s">
        <v>248</v>
      </c>
      <c r="B86" s="149" t="s">
        <v>305</v>
      </c>
      <c r="C86" s="148">
        <v>0</v>
      </c>
      <c r="D86" s="64"/>
      <c r="E86" s="34"/>
    </row>
    <row r="87" spans="1:5" ht="15.75">
      <c r="A87" s="76"/>
      <c r="B87" s="150" t="s">
        <v>81</v>
      </c>
      <c r="C87" s="111">
        <f>SUM(C81:C86)</f>
        <v>63.3362951515912</v>
      </c>
      <c r="D87" s="64"/>
      <c r="E87" s="34"/>
    </row>
    <row r="88" spans="1:5" ht="15.75">
      <c r="A88" s="112"/>
      <c r="B88" s="112"/>
      <c r="C88" s="112"/>
      <c r="D88" s="34"/>
      <c r="E88" s="64"/>
    </row>
    <row r="89" spans="1:5" ht="15">
      <c r="A89" s="151"/>
      <c r="B89" s="152" t="s">
        <v>306</v>
      </c>
      <c r="C89" s="152"/>
      <c r="D89" s="64"/>
      <c r="E89" s="34"/>
    </row>
    <row r="90" spans="1:5" ht="15">
      <c r="A90" s="66" t="s">
        <v>307</v>
      </c>
      <c r="B90" s="145" t="s">
        <v>308</v>
      </c>
      <c r="C90" s="146" t="s">
        <v>237</v>
      </c>
      <c r="D90" s="64"/>
      <c r="E90" s="34"/>
    </row>
    <row r="91" spans="1:5" ht="15">
      <c r="A91" s="69" t="s">
        <v>238</v>
      </c>
      <c r="B91" s="153" t="s">
        <v>309</v>
      </c>
      <c r="C91" s="154">
        <v>0</v>
      </c>
      <c r="D91" s="64"/>
      <c r="E91" s="34"/>
    </row>
    <row r="92" spans="1:5" ht="15.75">
      <c r="A92" s="155"/>
      <c r="B92" s="150" t="s">
        <v>81</v>
      </c>
      <c r="C92" s="156">
        <v>0</v>
      </c>
      <c r="D92" s="157"/>
      <c r="E92" s="34"/>
    </row>
    <row r="93" spans="1:5" ht="15.75">
      <c r="A93" s="112"/>
      <c r="B93" s="112"/>
      <c r="C93" s="112"/>
      <c r="D93" s="34"/>
      <c r="E93" s="64"/>
    </row>
    <row r="94" spans="1:5" ht="15">
      <c r="A94" s="114"/>
      <c r="B94" s="123" t="s">
        <v>310</v>
      </c>
      <c r="C94" s="124"/>
      <c r="D94" s="64"/>
      <c r="E94" s="34"/>
    </row>
    <row r="95" spans="1:5" ht="15">
      <c r="A95" s="66">
        <v>4</v>
      </c>
      <c r="B95" s="125" t="s">
        <v>311</v>
      </c>
      <c r="C95" s="126" t="s">
        <v>255</v>
      </c>
      <c r="D95" s="64"/>
      <c r="E95" s="34"/>
    </row>
    <row r="96" spans="1:5" ht="15">
      <c r="A96" s="69" t="s">
        <v>298</v>
      </c>
      <c r="B96" s="70" t="s">
        <v>299</v>
      </c>
      <c r="C96" s="71">
        <f>C87</f>
        <v>63.3362951515912</v>
      </c>
      <c r="D96" s="158"/>
      <c r="E96" s="159"/>
    </row>
    <row r="97" spans="1:5" ht="15">
      <c r="A97" s="69" t="s">
        <v>307</v>
      </c>
      <c r="B97" s="70" t="s">
        <v>308</v>
      </c>
      <c r="C97" s="71">
        <v>0</v>
      </c>
      <c r="D97" s="64"/>
      <c r="E97" s="34"/>
    </row>
    <row r="98" spans="1:5" ht="15.75">
      <c r="A98" s="76"/>
      <c r="B98" s="127" t="s">
        <v>258</v>
      </c>
      <c r="C98" s="78">
        <f>SUM(C96:C97)</f>
        <v>63.3362951515912</v>
      </c>
      <c r="D98" s="64"/>
      <c r="E98" s="34"/>
    </row>
    <row r="99" spans="1:5" ht="15.75">
      <c r="A99" s="34"/>
      <c r="B99" s="34"/>
      <c r="C99" s="34"/>
      <c r="D99" s="34"/>
      <c r="E99" s="34"/>
    </row>
    <row r="100" spans="1:5" ht="15">
      <c r="A100" s="160"/>
      <c r="B100" s="142" t="s">
        <v>312</v>
      </c>
      <c r="C100" s="161"/>
      <c r="D100" s="34"/>
      <c r="E100" s="34"/>
    </row>
    <row r="101" spans="1:5" ht="15">
      <c r="A101" s="162">
        <v>5</v>
      </c>
      <c r="B101" s="163" t="s">
        <v>313</v>
      </c>
      <c r="C101" s="68" t="s">
        <v>237</v>
      </c>
      <c r="D101" s="34"/>
      <c r="E101" s="34"/>
    </row>
    <row r="102" spans="1:5" ht="15">
      <c r="A102" s="164" t="s">
        <v>238</v>
      </c>
      <c r="B102" s="165" t="s">
        <v>314</v>
      </c>
      <c r="C102" s="166">
        <f>'An IID Uniformes'!H38</f>
        <v>163.644166666667</v>
      </c>
      <c r="D102" s="34"/>
      <c r="E102" s="34"/>
    </row>
    <row r="103" spans="1:5" ht="15">
      <c r="A103" s="164" t="s">
        <v>240</v>
      </c>
      <c r="B103" s="167" t="s">
        <v>315</v>
      </c>
      <c r="C103" s="168">
        <f>'An IIC Relacao Materiais'!F26</f>
        <v>149.443785714286</v>
      </c>
      <c r="D103" s="169"/>
      <c r="E103" s="169"/>
    </row>
    <row r="104" spans="1:5" ht="15">
      <c r="A104" s="164" t="s">
        <v>242</v>
      </c>
      <c r="B104" s="165" t="s">
        <v>316</v>
      </c>
      <c r="C104" s="170">
        <f>'An IIB Relacao Equip'!F16</f>
        <v>42.8852035714286</v>
      </c>
      <c r="D104" s="169"/>
      <c r="E104" s="34"/>
    </row>
    <row r="105" spans="1:5" ht="15">
      <c r="A105" s="171" t="s">
        <v>244</v>
      </c>
      <c r="B105" s="172" t="s">
        <v>317</v>
      </c>
      <c r="C105" s="173">
        <v>0</v>
      </c>
      <c r="D105" s="34"/>
      <c r="E105" s="34"/>
    </row>
    <row r="106" spans="1:5" ht="15.75">
      <c r="A106" s="174"/>
      <c r="B106" s="175" t="s">
        <v>318</v>
      </c>
      <c r="C106" s="176">
        <f>C102+C103+C104</f>
        <v>355.973155952381</v>
      </c>
      <c r="D106" s="177"/>
      <c r="E106" s="34"/>
    </row>
    <row r="107" spans="1:5" ht="15.75">
      <c r="A107" s="178"/>
      <c r="B107" s="179"/>
      <c r="C107" s="180"/>
      <c r="D107" s="180"/>
      <c r="E107" s="34"/>
    </row>
    <row r="108" spans="1:5" ht="15">
      <c r="A108" s="181"/>
      <c r="B108" s="81" t="s">
        <v>319</v>
      </c>
      <c r="C108" s="81"/>
      <c r="D108" s="81"/>
      <c r="E108" s="34"/>
    </row>
    <row r="109" spans="1:5" ht="15">
      <c r="A109" s="162">
        <v>6</v>
      </c>
      <c r="B109" s="145" t="s">
        <v>320</v>
      </c>
      <c r="C109" s="182" t="s">
        <v>263</v>
      </c>
      <c r="D109" s="146" t="s">
        <v>237</v>
      </c>
      <c r="E109" s="34"/>
    </row>
    <row r="110" spans="1:5" ht="15">
      <c r="A110" s="164" t="s">
        <v>238</v>
      </c>
      <c r="B110" s="183" t="s">
        <v>321</v>
      </c>
      <c r="C110" s="184">
        <v>4.47</v>
      </c>
      <c r="D110" s="86">
        <f>(C127)*C110/100</f>
        <v>243.297851315845</v>
      </c>
      <c r="E110" s="34"/>
    </row>
    <row r="111" spans="1:5" ht="15">
      <c r="A111" s="164" t="s">
        <v>240</v>
      </c>
      <c r="B111" s="183" t="s">
        <v>322</v>
      </c>
      <c r="C111" s="184">
        <v>3.06</v>
      </c>
      <c r="D111" s="86">
        <f>(C127+D110)*C111/100</f>
        <v>173.997805755072</v>
      </c>
      <c r="E111" s="34"/>
    </row>
    <row r="112" spans="1:5" ht="15">
      <c r="A112" s="164" t="s">
        <v>242</v>
      </c>
      <c r="B112" s="183" t="s">
        <v>323</v>
      </c>
      <c r="C112" s="184"/>
      <c r="D112" s="86"/>
      <c r="E112" s="34"/>
    </row>
    <row r="113" spans="1:5" ht="15">
      <c r="A113" s="164"/>
      <c r="B113" s="183" t="s">
        <v>324</v>
      </c>
      <c r="C113" s="184">
        <f>3+0.65</f>
        <v>3.65</v>
      </c>
      <c r="D113" s="86">
        <f>((C127+D110+D111)/(1-(C113+C115)/100))*C113/100</f>
        <v>234.15142003241</v>
      </c>
      <c r="E113" s="34"/>
    </row>
    <row r="114" spans="1:5" ht="15">
      <c r="A114" s="164"/>
      <c r="B114" s="183" t="s">
        <v>325</v>
      </c>
      <c r="C114" s="184"/>
      <c r="D114" s="86"/>
      <c r="E114" s="34"/>
    </row>
    <row r="115" spans="1:5" ht="15">
      <c r="A115" s="164"/>
      <c r="B115" s="183" t="s">
        <v>326</v>
      </c>
      <c r="C115" s="185">
        <v>5</v>
      </c>
      <c r="D115" s="86">
        <f>((C127+D110+D111)/(1-(C113+C115)/100))*C115/100</f>
        <v>320.755369907411</v>
      </c>
      <c r="E115" s="34"/>
    </row>
    <row r="116" spans="1:5" ht="15">
      <c r="A116" s="164"/>
      <c r="B116" s="183" t="s">
        <v>327</v>
      </c>
      <c r="C116" s="184"/>
      <c r="D116" s="86"/>
      <c r="E116" s="34"/>
    </row>
    <row r="117" spans="1:5" ht="15.75">
      <c r="A117" s="186"/>
      <c r="B117" s="150" t="s">
        <v>81</v>
      </c>
      <c r="C117" s="187">
        <f>SUM(C110:C116)</f>
        <v>16.18</v>
      </c>
      <c r="D117" s="111">
        <f>SUM(D110:D116)</f>
        <v>972.202447010738</v>
      </c>
      <c r="E117" s="34"/>
    </row>
    <row r="118" spans="1:5" ht="15">
      <c r="A118" s="178"/>
      <c r="B118" s="179"/>
      <c r="C118" s="180"/>
      <c r="D118" s="180"/>
      <c r="E118" s="34"/>
    </row>
    <row r="119" spans="1:5" ht="15">
      <c r="A119" s="188" t="s">
        <v>328</v>
      </c>
      <c r="B119" s="188"/>
      <c r="C119" s="188"/>
      <c r="D119" s="189"/>
      <c r="E119" s="159"/>
    </row>
    <row r="120" spans="1:5" ht="15.75">
      <c r="A120" s="34"/>
      <c r="B120" s="189"/>
      <c r="C120" s="34"/>
      <c r="D120" s="34"/>
      <c r="E120" s="159"/>
    </row>
    <row r="121" spans="1:5" ht="15">
      <c r="A121" s="114"/>
      <c r="B121" s="190" t="s">
        <v>329</v>
      </c>
      <c r="C121" s="191" t="s">
        <v>237</v>
      </c>
      <c r="D121" s="159"/>
      <c r="E121" s="159"/>
    </row>
    <row r="122" spans="1:5" ht="15">
      <c r="A122" s="82" t="s">
        <v>238</v>
      </c>
      <c r="B122" s="183" t="s">
        <v>330</v>
      </c>
      <c r="C122" s="86">
        <f>C29</f>
        <v>2554.1856404844</v>
      </c>
      <c r="D122" s="159"/>
      <c r="E122" s="159"/>
    </row>
    <row r="123" spans="1:5" ht="15">
      <c r="A123" s="82" t="s">
        <v>240</v>
      </c>
      <c r="B123" s="183" t="s">
        <v>331</v>
      </c>
      <c r="C123" s="86">
        <f>C66</f>
        <v>2299.86552834963</v>
      </c>
      <c r="D123" s="159"/>
      <c r="E123" s="159"/>
    </row>
    <row r="124" spans="1:5" ht="15">
      <c r="A124" s="82" t="s">
        <v>242</v>
      </c>
      <c r="B124" s="183" t="s">
        <v>332</v>
      </c>
      <c r="C124" s="86">
        <f>C76</f>
        <v>169.544331199475</v>
      </c>
      <c r="D124" s="159"/>
      <c r="E124" s="159"/>
    </row>
    <row r="125" spans="1:5" ht="15">
      <c r="A125" s="82" t="s">
        <v>244</v>
      </c>
      <c r="B125" s="183" t="s">
        <v>333</v>
      </c>
      <c r="C125" s="86">
        <f>C98</f>
        <v>63.3362951515912</v>
      </c>
      <c r="D125" s="159"/>
      <c r="E125" s="159"/>
    </row>
    <row r="126" spans="1:5" ht="15">
      <c r="A126" s="82" t="s">
        <v>246</v>
      </c>
      <c r="B126" s="183" t="s">
        <v>334</v>
      </c>
      <c r="C126" s="86">
        <f>C106</f>
        <v>355.973155952381</v>
      </c>
      <c r="D126" s="159"/>
      <c r="E126" s="159"/>
    </row>
    <row r="127" spans="1:5" ht="15">
      <c r="A127" s="82"/>
      <c r="B127" s="182" t="s">
        <v>335</v>
      </c>
      <c r="C127" s="192">
        <f>SUM(C122:C126)</f>
        <v>5442.90495113748</v>
      </c>
      <c r="D127" s="159"/>
      <c r="E127" s="159"/>
    </row>
    <row r="128" spans="1:5" ht="15">
      <c r="A128" s="82" t="s">
        <v>248</v>
      </c>
      <c r="B128" s="183" t="s">
        <v>336</v>
      </c>
      <c r="C128" s="86">
        <f>D117</f>
        <v>972.202447010738</v>
      </c>
      <c r="D128" s="159"/>
      <c r="E128" s="159"/>
    </row>
    <row r="129" spans="1:5" ht="15">
      <c r="A129" s="82"/>
      <c r="B129" s="145" t="s">
        <v>337</v>
      </c>
      <c r="C129" s="192">
        <f>SUM(C127:C128)</f>
        <v>6415.10739814822</v>
      </c>
      <c r="D129" s="159"/>
      <c r="E129" s="159"/>
    </row>
    <row r="130" spans="1:5" ht="15">
      <c r="A130" s="198"/>
      <c r="B130" s="145" t="s">
        <v>338</v>
      </c>
      <c r="C130" s="90">
        <f>2*C129</f>
        <v>12830.2147962964</v>
      </c>
      <c r="D130" s="159"/>
      <c r="E130" s="159"/>
    </row>
    <row r="131" spans="1:5" ht="15.75">
      <c r="A131" s="76"/>
      <c r="B131" s="193" t="s">
        <v>339</v>
      </c>
      <c r="C131" s="194">
        <f>C129/C29</f>
        <v>2.51160577229288</v>
      </c>
      <c r="D131" s="159"/>
      <c r="E131" s="159"/>
    </row>
    <row r="132" spans="1:5" ht="15">
      <c r="A132" s="34"/>
      <c r="B132" s="189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">
      <c r="A134" s="181"/>
      <c r="B134" s="81" t="s">
        <v>340</v>
      </c>
      <c r="C134" s="81"/>
      <c r="D134" s="81"/>
      <c r="E134" s="34"/>
    </row>
    <row r="135" spans="1:5" ht="15">
      <c r="A135" s="162">
        <v>6</v>
      </c>
      <c r="B135" s="145" t="s">
        <v>320</v>
      </c>
      <c r="C135" s="182" t="s">
        <v>263</v>
      </c>
      <c r="D135" s="146" t="s">
        <v>237</v>
      </c>
      <c r="E135" s="34"/>
    </row>
    <row r="136" spans="1:5" ht="15">
      <c r="A136" s="164" t="s">
        <v>238</v>
      </c>
      <c r="B136" s="183" t="s">
        <v>321</v>
      </c>
      <c r="C136" s="184">
        <v>4.47</v>
      </c>
      <c r="D136" s="86">
        <f>(C153)*C136/100</f>
        <v>243.297851315845</v>
      </c>
      <c r="E136" s="34"/>
    </row>
    <row r="137" spans="1:5" ht="15">
      <c r="A137" s="164" t="s">
        <v>240</v>
      </c>
      <c r="B137" s="183" t="s">
        <v>322</v>
      </c>
      <c r="C137" s="184">
        <v>3.06</v>
      </c>
      <c r="D137" s="86">
        <f>(C153+D136)*C137/100</f>
        <v>173.997805755072</v>
      </c>
      <c r="E137" s="34"/>
    </row>
    <row r="138" spans="1:5" ht="15">
      <c r="A138" s="164" t="s">
        <v>242</v>
      </c>
      <c r="B138" s="183" t="s">
        <v>323</v>
      </c>
      <c r="C138" s="184"/>
      <c r="D138" s="86"/>
      <c r="E138" s="34"/>
    </row>
    <row r="139" spans="1:5" ht="15">
      <c r="A139" s="164"/>
      <c r="B139" s="183" t="s">
        <v>341</v>
      </c>
      <c r="C139" s="107">
        <f>1.65+7.6</f>
        <v>9.25</v>
      </c>
      <c r="D139" s="86">
        <f>((C153+D136+D137)/(1-(C139+C141)/100))*C139/100</f>
        <v>632.149919835891</v>
      </c>
      <c r="E139" s="34"/>
    </row>
    <row r="140" spans="1:5" ht="15">
      <c r="A140" s="164"/>
      <c r="B140" s="183" t="s">
        <v>325</v>
      </c>
      <c r="C140" s="184"/>
      <c r="D140" s="86"/>
      <c r="E140" s="34"/>
    </row>
    <row r="141" spans="1:5" ht="15">
      <c r="A141" s="164"/>
      <c r="B141" s="183" t="s">
        <v>326</v>
      </c>
      <c r="C141" s="185">
        <v>5</v>
      </c>
      <c r="D141" s="86">
        <f>((C153+D136+D137)/(1-(C139+C141)/100))*C141/100</f>
        <v>341.702659370752</v>
      </c>
      <c r="E141" s="34"/>
    </row>
    <row r="142" spans="1:5" ht="15">
      <c r="A142" s="164"/>
      <c r="B142" s="183" t="s">
        <v>327</v>
      </c>
      <c r="C142" s="184"/>
      <c r="D142" s="86"/>
      <c r="E142" s="34"/>
    </row>
    <row r="143" spans="1:5" ht="15.75">
      <c r="A143" s="186"/>
      <c r="B143" s="150" t="s">
        <v>81</v>
      </c>
      <c r="C143" s="187">
        <f>SUM(C136:C142)</f>
        <v>21.78</v>
      </c>
      <c r="D143" s="111">
        <f>SUM(D136:D142)</f>
        <v>1391.14823627756</v>
      </c>
      <c r="E143" s="34"/>
    </row>
    <row r="144" spans="1:5" ht="15">
      <c r="A144" s="112"/>
      <c r="B144" s="112"/>
      <c r="C144" s="112"/>
      <c r="D144" s="112"/>
      <c r="E144" s="34"/>
    </row>
    <row r="145" spans="1:5" ht="15">
      <c r="A145" s="195" t="s">
        <v>328</v>
      </c>
      <c r="B145" s="195"/>
      <c r="C145" s="195"/>
      <c r="D145" s="196"/>
      <c r="E145" s="34"/>
    </row>
    <row r="146" spans="1:5" ht="15.75">
      <c r="A146" s="112"/>
      <c r="B146" s="197"/>
      <c r="C146" s="112"/>
      <c r="D146" s="196"/>
      <c r="E146" s="34"/>
    </row>
    <row r="147" spans="1:5" ht="15">
      <c r="A147" s="114"/>
      <c r="B147" s="190" t="s">
        <v>329</v>
      </c>
      <c r="C147" s="191" t="s">
        <v>237</v>
      </c>
      <c r="D147" s="196"/>
      <c r="E147" s="34"/>
    </row>
    <row r="148" spans="1:5" ht="15">
      <c r="A148" s="82" t="s">
        <v>238</v>
      </c>
      <c r="B148" s="183" t="s">
        <v>330</v>
      </c>
      <c r="C148" s="86">
        <f>C122</f>
        <v>2554.1856404844</v>
      </c>
      <c r="D148" s="196"/>
      <c r="E148" s="34"/>
    </row>
    <row r="149" spans="1:5" ht="15">
      <c r="A149" s="82" t="s">
        <v>240</v>
      </c>
      <c r="B149" s="183" t="s">
        <v>331</v>
      </c>
      <c r="C149" s="86">
        <f>C123</f>
        <v>2299.86552834963</v>
      </c>
      <c r="D149" s="196"/>
      <c r="E149" s="34"/>
    </row>
    <row r="150" spans="1:5" ht="15">
      <c r="A150" s="82" t="s">
        <v>242</v>
      </c>
      <c r="B150" s="183" t="s">
        <v>332</v>
      </c>
      <c r="C150" s="86">
        <f>C124</f>
        <v>169.544331199475</v>
      </c>
      <c r="D150" s="196"/>
      <c r="E150" s="34"/>
    </row>
    <row r="151" spans="1:5" ht="15">
      <c r="A151" s="82" t="s">
        <v>244</v>
      </c>
      <c r="B151" s="183" t="s">
        <v>333</v>
      </c>
      <c r="C151" s="86">
        <f>C125</f>
        <v>63.3362951515912</v>
      </c>
      <c r="D151" s="196"/>
      <c r="E151" s="34"/>
    </row>
    <row r="152" spans="1:5" ht="15">
      <c r="A152" s="82" t="s">
        <v>246</v>
      </c>
      <c r="B152" s="183" t="s">
        <v>334</v>
      </c>
      <c r="C152" s="86">
        <f>C126</f>
        <v>355.973155952381</v>
      </c>
      <c r="D152" s="196"/>
      <c r="E152" s="34"/>
    </row>
    <row r="153" spans="1:5" ht="15">
      <c r="A153" s="82"/>
      <c r="B153" s="182" t="s">
        <v>335</v>
      </c>
      <c r="C153" s="192">
        <f>SUM(C148:C152)</f>
        <v>5442.90495113748</v>
      </c>
      <c r="D153" s="196"/>
      <c r="E153" s="34"/>
    </row>
    <row r="154" spans="1:5" ht="15">
      <c r="A154" s="82" t="s">
        <v>248</v>
      </c>
      <c r="B154" s="183" t="s">
        <v>336</v>
      </c>
      <c r="C154" s="86">
        <f>D143</f>
        <v>1391.14823627756</v>
      </c>
      <c r="D154" s="196"/>
      <c r="E154" s="34"/>
    </row>
    <row r="155" spans="1:5" ht="15">
      <c r="A155" s="82"/>
      <c r="B155" s="145" t="s">
        <v>337</v>
      </c>
      <c r="C155" s="192">
        <f>SUM(C153:C154)</f>
        <v>6834.05318741504</v>
      </c>
      <c r="D155" s="196"/>
      <c r="E155" s="34"/>
    </row>
    <row r="156" spans="1:5" ht="15">
      <c r="A156" s="198"/>
      <c r="B156" s="145" t="s">
        <v>338</v>
      </c>
      <c r="C156" s="90">
        <f>2*C155</f>
        <v>13668.1063748301</v>
      </c>
      <c r="D156" s="196"/>
      <c r="E156" s="34"/>
    </row>
    <row r="157" spans="1:5" ht="15.75">
      <c r="A157" s="76"/>
      <c r="B157" s="193" t="s">
        <v>339</v>
      </c>
      <c r="C157" s="194">
        <f>C155/C29</f>
        <v>2.67562900640181</v>
      </c>
      <c r="D157" s="196"/>
      <c r="E157" s="34"/>
    </row>
  </sheetData>
  <mergeCells count="24">
    <mergeCell ref="A1:E1"/>
    <mergeCell ref="A2:E2"/>
    <mergeCell ref="A4:E4"/>
    <mergeCell ref="A5:E5"/>
    <mergeCell ref="B7:E7"/>
    <mergeCell ref="B9:E9"/>
    <mergeCell ref="C11:E11"/>
    <mergeCell ref="C12:E12"/>
    <mergeCell ref="C13:E13"/>
    <mergeCell ref="C14:E14"/>
    <mergeCell ref="C15:E15"/>
    <mergeCell ref="C16:E16"/>
    <mergeCell ref="C17:E17"/>
    <mergeCell ref="C18:E18"/>
    <mergeCell ref="A21:C21"/>
    <mergeCell ref="B30:D30"/>
    <mergeCell ref="B31:C31"/>
    <mergeCell ref="B32:C32"/>
    <mergeCell ref="A39:D39"/>
    <mergeCell ref="B89:C89"/>
    <mergeCell ref="B108:D108"/>
    <mergeCell ref="A119:C119"/>
    <mergeCell ref="B134:D134"/>
    <mergeCell ref="A145:C145"/>
  </mergeCells>
  <printOptions/>
  <pageMargins left="0.511811024" right="0.511811024" top="0.787401575" bottom="0.787401575" header="0.31496062" footer="0.31496062"/>
  <pageSetup horizontalDpi="600" verticalDpi="600" orientation="portrait" paperSize="9" scale="84"/>
  <headerFooter>
    <oddHeader>&amp;L&amp;G&amp;CProcesso 23069.167552/2021-41
PE 88/2021&amp;R&amp;G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Ramos</dc:creator>
  <cp:keywords/>
  <dc:description/>
  <cp:lastModifiedBy>Juliana Borsoi</cp:lastModifiedBy>
  <cp:lastPrinted>2022-01-07T03:18:00Z</cp:lastPrinted>
  <dcterms:created xsi:type="dcterms:W3CDTF">2021-10-25T18:50:00Z</dcterms:created>
  <dcterms:modified xsi:type="dcterms:W3CDTF">2022-01-26T17:12:27Z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1DF87576507044869E68219A4A1D8B1B</vt:lpwstr>
  </property>
  <property fmtid="{D5CDD505-2E9C-101B-9397-08002B2CF9AE}" pid="3" name="KSOProductBuildVer">
    <vt:lpwstr>1046-11.2.0.10443</vt:lpwstr>
  </property>
</Properties>
</file>