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730" tabRatio="982" activeTab="0"/>
  </bookViews>
  <sheets>
    <sheet name="Servente" sheetId="1" r:id="rId1"/>
    <sheet name="Custo Total MDO" sheetId="2" r:id="rId2"/>
    <sheet name="Custo M2" sheetId="3" r:id="rId3"/>
    <sheet name="Descricao Area" sheetId="4" r:id="rId4"/>
  </sheets>
  <definedNames>
    <definedName name="_xlnm.Print_Area" localSheetId="0">'Servente'!$A$1:$F$155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C103" authorId="0">
      <text>
        <r>
          <rPr>
            <b/>
            <sz val="9"/>
            <rFont val="Tahoma"/>
            <family val="2"/>
          </rPr>
          <t>User1:
=[12%*(C121+C122+C123+C124+C101)]-[9,25%*(12%*(C121+C122+C123+C124+C101))]</t>
        </r>
      </text>
    </comment>
  </commentList>
</comments>
</file>

<file path=xl/comments3.xml><?xml version="1.0" encoding="utf-8"?>
<comments xmlns="http://schemas.openxmlformats.org/spreadsheetml/2006/main">
  <authors>
    <author>JoaoPaulo</author>
  </authors>
  <commentList>
    <comment ref="D5" authorId="0">
      <text>
        <r>
          <rPr>
            <b/>
            <sz val="9"/>
            <rFont val="Segoe UI"/>
            <family val="2"/>
          </rPr>
          <t>De acordo com a Produtividade estabelecida pelo Licitante.</t>
        </r>
        <r>
          <rPr>
            <sz val="9"/>
            <rFont val="Segoe UI"/>
            <family val="2"/>
          </rPr>
          <t xml:space="preserve">
</t>
        </r>
      </text>
    </comment>
    <comment ref="E5" authorId="0">
      <text>
        <r>
          <rPr>
            <b/>
            <sz val="9"/>
            <rFont val="Segoe UI"/>
            <family val="2"/>
          </rPr>
          <t>Conforme Planilha de Formação de Custo Anexo IV-B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<sst xmlns="http://schemas.openxmlformats.org/spreadsheetml/2006/main" count="317" uniqueCount="208">
  <si>
    <t>(PLANILHA A SER FORNECIDA PELA PROPONENTE EM PAPEL TIMBRADO)</t>
  </si>
  <si>
    <r>
      <rPr>
        <sz val="9"/>
        <rFont val="Arial"/>
        <family val="2"/>
      </rPr>
      <t xml:space="preserve">EMPRESA </t>
    </r>
    <r>
      <rPr>
        <sz val="9"/>
        <color indexed="10"/>
        <rFont val="Arial"/>
        <family val="2"/>
      </rPr>
      <t>(nome da empresa)</t>
    </r>
  </si>
  <si>
    <r>
      <rPr>
        <sz val="9"/>
        <rFont val="Arial"/>
        <family val="2"/>
      </rPr>
      <t>CNPJ N.º :</t>
    </r>
    <r>
      <rPr>
        <sz val="9"/>
        <color indexed="10"/>
        <rFont val="Arial"/>
        <family val="2"/>
      </rPr>
      <t xml:space="preserve"> (n.º do CNPJ)</t>
    </r>
  </si>
  <si>
    <r>
      <rPr>
        <b/>
        <sz val="9"/>
        <rFont val="Arial"/>
        <family val="2"/>
      </rPr>
      <t>PLANILHA DE COMPOSIÇÃO DE CUSTOS E FORMAÇÃO DE PREÇOS</t>
    </r>
    <r>
      <rPr>
        <sz val="9"/>
        <rFont val="Arial"/>
        <family val="2"/>
      </rPr>
      <t xml:space="preserve"> (Anexo VII da I.N. da SLTI/MPOG n.º 5 de 26/Maio/2017   </t>
    </r>
  </si>
  <si>
    <t>MÃO-DE-OBRA VINCULADA À EXECUÇÃO CONTRATUAL</t>
  </si>
  <si>
    <t>Dados para composição dos custos referentes a mão de obra</t>
  </si>
  <si>
    <t>Tipo de serviço</t>
  </si>
  <si>
    <t>Dias trabalhados por mês</t>
  </si>
  <si>
    <t>Classificação Brasileira de Ocupações (CBO)</t>
  </si>
  <si>
    <t>Salário Normativo da Categoria Profissional</t>
  </si>
  <si>
    <t xml:space="preserve">Categoria profissional </t>
  </si>
  <si>
    <t>Data base da categoria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</si>
  <si>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</si>
  <si>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</si>
  <si>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</si>
  <si>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</si>
  <si>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</si>
  <si>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</si>
  <si>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</si>
  <si>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</si>
  <si>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</si>
  <si>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</si>
  <si>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</si>
  <si>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</si>
  <si>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F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</si>
  <si>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</si>
  <si>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</si>
  <si>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</si>
  <si>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</si>
  <si>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</si>
  <si>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</si>
  <si>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</si>
  <si>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</si>
  <si>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</si>
  <si>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</si>
  <si>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</si>
  <si>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</si>
  <si>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</si>
  <si>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</si>
  <si>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</si>
  <si>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</si>
  <si>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</si>
  <si>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</si>
  <si>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</si>
  <si>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</si>
  <si>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</si>
  <si>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</si>
  <si>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</si>
  <si>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</si>
  <si>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</si>
  <si>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</si>
  <si>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</si>
  <si>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</si>
  <si>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Transporte</t>
  </si>
  <si>
    <t>Total de Benefícios Mensais e Diários</t>
  </si>
  <si>
    <t>Quadro-Resumo do Módulo 2 - Encargos e Benefícios anuais, mensais e diários</t>
  </si>
  <si>
    <t>Encargos e Benefícios Anuais, Mensais e Diários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</si>
  <si>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</si>
  <si>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</si>
  <si>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</si>
  <si>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</si>
  <si>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</si>
  <si>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</si>
  <si>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</si>
  <si>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</si>
  <si>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</si>
  <si>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</si>
  <si>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</si>
  <si>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</si>
  <si>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</si>
  <si>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</si>
  <si>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</si>
  <si>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</si>
  <si>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</si>
  <si>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</si>
  <si>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</si>
  <si>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</si>
  <si>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</si>
  <si>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Uniformes</t>
  </si>
  <si>
    <t>Equipamentos</t>
  </si>
  <si>
    <t>Total de Insumos Diversos</t>
  </si>
  <si>
    <t>MÓDULO 6: CUSTOS INDIRETOS, TRIBUTOS E LUCRO – (LUCRO PRESUMIDO)</t>
  </si>
  <si>
    <t>MÓDULO 6: CUSTOS INDIRETOS, TRIBUTOS E LUCRO – (LUCRO REAL)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</si>
  <si>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</si>
  <si>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</si>
  <si>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</si>
  <si>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</si>
  <si>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</si>
  <si>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</si>
  <si>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</si>
  <si>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</si>
  <si>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Quadro-resumo do Custo por Empregado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</si>
  <si>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</si>
  <si>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</si>
  <si>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</si>
  <si>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</si>
  <si>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</si>
  <si>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</si>
  <si>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</si>
  <si>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</si>
  <si>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</si>
  <si>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r>
      <t>PLANILHA DE COMPOSIÇÃO DE CUSTOS E FORMAÇÃO DE PREÇOS</t>
    </r>
    <r>
      <rPr>
        <sz val="9"/>
        <rFont val="Verdana"/>
        <family val="2"/>
      </rPr>
      <t xml:space="preserve"> (Anexo VII da I.N. da SLTI/MPOG n.º 5 de 26/Maio/2017   </t>
    </r>
  </si>
  <si>
    <t>Adicional de Hora Noturna Reduzida</t>
  </si>
  <si>
    <r>
      <t xml:space="preserve">EMPRESA </t>
    </r>
    <r>
      <rPr>
        <sz val="9"/>
        <color indexed="10"/>
        <rFont val="Verdana"/>
        <family val="2"/>
      </rPr>
      <t>(nome da empresa)</t>
    </r>
  </si>
  <si>
    <r>
      <t>CNPJ N.º :</t>
    </r>
    <r>
      <rPr>
        <sz val="9"/>
        <color indexed="10"/>
        <rFont val="Verdana"/>
        <family val="2"/>
      </rPr>
      <t xml:space="preserve"> (n.º do CNPJ)</t>
    </r>
  </si>
  <si>
    <t>ITEM</t>
  </si>
  <si>
    <t>DISCRIMINAÇÃO DO POSTO</t>
  </si>
  <si>
    <t>FUNCIONÁRIOS</t>
  </si>
  <si>
    <t>R$</t>
  </si>
  <si>
    <t>TOTAL MENSAL</t>
  </si>
  <si>
    <t>Substituto na cobertura de Ausências legais</t>
  </si>
  <si>
    <t>Substituto na cobertura de Licença paternidade</t>
  </si>
  <si>
    <t>Substituto na cobertura de Ausência por Acidente de trabalho</t>
  </si>
  <si>
    <t xml:space="preserve">Outros </t>
  </si>
  <si>
    <t>Substituto na cobertura de Afastamento Maternidade</t>
  </si>
  <si>
    <t>C.1) Tributos Federais (PIS = 1,65% e COFINS = 7,60%)</t>
  </si>
  <si>
    <t>MÓDULO 4: CUSTO DE REPOSIÇÃO DO PROFISSIONAL AUSENTE</t>
  </si>
  <si>
    <t>MÓDULO 3: PROVISÃO PARA RESCISÃO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</si>
  <si>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</si>
  <si>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Quantidade de postos</t>
  </si>
  <si>
    <t>Ticket Alimentação</t>
  </si>
  <si>
    <t>Servente – 44 horas (dia)</t>
  </si>
  <si>
    <t>CBO 5143-20</t>
  </si>
  <si>
    <t>Servente de limpeza</t>
  </si>
  <si>
    <t>Outros (Relógio de ponto biométrico)</t>
  </si>
  <si>
    <t>Materiais (Base de Cálculo (Mod 1+2+3+4+5.A)  x percentual de 12% em relação a soma de todos os itens de custo para
cada cargo de Servente, menos 9,25% correspondente ao Cofins no custo de insumos)</t>
  </si>
  <si>
    <t>TOTAL ANUAL</t>
  </si>
  <si>
    <t>Servente</t>
  </si>
  <si>
    <t>VALOR MENSAL POR FUNCIONÁRIO</t>
  </si>
  <si>
    <t>Custo total da contratação</t>
  </si>
  <si>
    <t>Contratação de empresa especializada na prestação dos serviços de limpeza em Oriximiná - Pará</t>
  </si>
  <si>
    <t>Assistência média e familiar (Seguro de Vida com Assist. Funeral e Familiar)</t>
  </si>
  <si>
    <t>Outros (Qualificação/formação profissional)</t>
  </si>
  <si>
    <t>D1</t>
  </si>
  <si>
    <t>D2</t>
  </si>
  <si>
    <t>Outros (Benefício Natalidade) 16,77%</t>
  </si>
  <si>
    <t>Contratação de empresa especializada na prestação dos serviços de limpeza na Unidade de Oriximiná-Pára</t>
  </si>
  <si>
    <t>PRÓ-REITORIA DE ADMINISTRAÇÃO</t>
  </si>
  <si>
    <t>COORDENAÇÃO DE CONTRATOS</t>
  </si>
  <si>
    <t>ÁREA TOTAL [a]</t>
  </si>
  <si>
    <t>MÃO DE OBRA ESTIMADA</t>
  </si>
  <si>
    <t>QTDADE ESTIMADA [b]</t>
  </si>
  <si>
    <t>PREÇO HOMEM-MÊS</t>
  </si>
  <si>
    <t>SUBTOTAL</t>
  </si>
  <si>
    <t>(R$)</t>
  </si>
  <si>
    <t>[c]</t>
  </si>
  <si>
    <t>[d] = [b] x [c]/[a]</t>
  </si>
  <si>
    <t>ÁREA INTERNA</t>
  </si>
  <si>
    <t>Encarregado</t>
  </si>
  <si>
    <t>Servente Líder</t>
  </si>
  <si>
    <t>Legenda Produtividade:</t>
  </si>
  <si>
    <t>AI - ÁREA INTERNA COMUM</t>
  </si>
  <si>
    <t>Produtividade = (AI)/1200 + (AI)/15*1200 + (AI)/30*1200</t>
  </si>
  <si>
    <t>WC - ÁREA INTERNA BANHEIRO</t>
  </si>
  <si>
    <t>Produtividade = (WC)/300 + (WC)/15*300 + (WC)/30*300</t>
  </si>
  <si>
    <t>LAB - ÁREA INTERNA DE LABORATÓRIOS E AMB. MÉDICOS</t>
  </si>
  <si>
    <t>Produtividade = (LAB)/450 + (LAB)/15*450 + (LAB)/30*450</t>
  </si>
  <si>
    <t>ESQ - ESQUADRIAS INTERNAS E EXTERNAS</t>
  </si>
  <si>
    <t>Produtividade = (ESQ)/1200 + (ESQ)/15*1200 + (ESQ)/30*1200</t>
  </si>
  <si>
    <t>AE - ÁREA EXTERNA</t>
  </si>
  <si>
    <t>Produtividade = (AE)/2700 + (AE)/15*2700 + (AE)/30*2700</t>
  </si>
  <si>
    <t>RESUMO</t>
  </si>
  <si>
    <t>Custo Mensal</t>
  </si>
  <si>
    <t>Custo Anual</t>
  </si>
  <si>
    <t>[a]</t>
  </si>
  <si>
    <t>[b]</t>
  </si>
  <si>
    <t>[c] = [a] x [b]</t>
  </si>
  <si>
    <t>[d] = [c] x 12</t>
  </si>
  <si>
    <t>Descrição</t>
  </si>
  <si>
    <t>Carga Horária</t>
  </si>
  <si>
    <t>Área Limpeza (m2)</t>
  </si>
  <si>
    <t>Força de Trabalho Máxima</t>
  </si>
  <si>
    <t>44 h Diurno Seg a Sáb.</t>
  </si>
  <si>
    <t>12x36 Diurno</t>
  </si>
  <si>
    <t>Interna Comum</t>
  </si>
  <si>
    <t>Banheiros</t>
  </si>
  <si>
    <t>Esquadrias Internas</t>
  </si>
  <si>
    <t>Laborat. E Médico Hospitalar</t>
  </si>
  <si>
    <t>Externa Comum</t>
  </si>
  <si>
    <t>Líder</t>
  </si>
  <si>
    <t>ORIXIMINÁ</t>
  </si>
  <si>
    <t>Extensão Oriximiná - Pará</t>
  </si>
  <si>
    <t>SIM</t>
  </si>
  <si>
    <t>NÃO</t>
  </si>
  <si>
    <t>TOTAL GERAL</t>
  </si>
  <si>
    <t>TOTAL GERAL CONSIDERADO</t>
  </si>
  <si>
    <t>Obs: Do total de pessoal de Servente foi diminuido o total de Líder, pois estes exercem também a mesma função daqueles.</t>
  </si>
  <si>
    <t>1 - Área de produtividade por funcionário, com base na Portaria 213 MPOG de 25/09/2017 (e adpatado as demandas da UFF).</t>
  </si>
  <si>
    <t>1.200,00 m² para área interna comum com periodicidade diária;</t>
  </si>
  <si>
    <t>300 m² para área Banheiro com periodicidade diária;</t>
  </si>
  <si>
    <t>380,00 m² para área de esquadria envidraçada (interna e externa), com periodicidade quinzenal;</t>
  </si>
  <si>
    <t>450,00 m² para área de laboratório com períodicidade diária;</t>
  </si>
  <si>
    <t>2.700,00 m² para área externa com periodicidade diária;</t>
  </si>
  <si>
    <t>2 - Quantidade líder e de encarregado:</t>
  </si>
  <si>
    <t>1 encarregado para cada 30 funcionários ou sob critério da Administração pela natureza da execução do contrato.</t>
  </si>
  <si>
    <t>1 líder para cada 15 funcionários ou sob critério da Administração pela natureza da execução do contrato.</t>
  </si>
  <si>
    <r>
      <t>(R$/M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</si>
  <si>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t>Custo M</t>
    </r>
    <r>
      <rPr>
        <b/>
        <vertAlign val="superscript"/>
        <sz val="10"/>
        <color indexed="8"/>
        <rFont val="Calibri"/>
        <family val="2"/>
      </rPr>
      <t>2</t>
    </r>
  </si>
  <si>
    <r>
      <t>Quantidade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- PA</t>
    </r>
  </si>
  <si>
    <r>
      <t>(M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</si>
  <si>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t>(R$</t>
    </r>
    <r>
      <rPr>
        <b/>
        <sz val="10"/>
        <color indexed="8"/>
        <rFont val="Calibri"/>
        <family val="2"/>
      </rPr>
      <t>)</t>
    </r>
  </si>
  <si>
    <t>Processo 23069.157535/2020-14</t>
  </si>
  <si>
    <t>Processo  23069.157535/2020-14</t>
  </si>
  <si>
    <t>ITEM 01</t>
  </si>
  <si>
    <t>ANEXO IV.1</t>
  </si>
  <si>
    <t>ANEXO IV.2 - Custo total MAO DE OBRA</t>
  </si>
  <si>
    <t>ANEXO IV.3 - RESUMO DE CUSTOS</t>
  </si>
  <si>
    <t>ANEXO IV.4 - DISTRIBUIÇÃO DAS ATIVIDADES SUGESTIVAS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</si>
</sst>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#,##0.00_);\(#,##0.00\)"/>
    <numFmt numFmtId="167" formatCode="_(&quot;R$ &quot;* #,##0.00_);_(&quot;R$ &quot;* \(#,##0.00\);_(&quot;R$ &quot;* &quot;-&quot;??_);_(@_)"/>
    <numFmt numFmtId="168" formatCode="&quot;R$&quot;\ #,##0.00"/>
    <numFmt numFmtId="169" formatCode="0.000%"/>
    <numFmt numFmtId="170" formatCode="&quot;R$&quot;\ #,##0.0;[Red]\-&quot;R$&quot;\ #,##0.0"/>
    <numFmt numFmtId="171" formatCode="&quot;R$&quot;\ #,##0.000;[Red]\-&quot;R$&quot;\ #,##0.000"/>
    <numFmt numFmtId="172" formatCode="&quot;R$&quot;\ #,##0.0000;[Red]\-&quot;R$&quot;\ #,##0.0000"/>
    <numFmt numFmtId="173" formatCode="&quot;R$&quot;\ #,##0.00000;[Red]\-&quot;R$&quot;\ #,##0.00000"/>
    <numFmt numFmtId="174" formatCode="&quot;R$&quot;\ #,##0.000000;[Red]\-&quot;R$&quot;\ #,##0.000000"/>
    <numFmt numFmtId="175" formatCode="&quot;R$&quot;\ #,##0.0000000;[Red]\-&quot;R$&quot;\ #,##0.0000000"/>
    <numFmt numFmtId="176" formatCode="&quot;R$&quot;\ #,##0.00000000;[Red]\-&quot;R$&quot;\ #,##0.00000000"/>
    <numFmt numFmtId="177" formatCode="&quot;R$&quot;\ #,##0.000000000;[Red]\-&quot;R$&quot;\ #,##0.000000000"/>
    <numFmt numFmtId="178" formatCode="&quot;R$&quot;\ #,##0.0000000000;[Red]\-&quot;R$&quot;\ #,##0.0000000000"/>
    <numFmt numFmtId="179" formatCode="&quot;R$&quot;\ #,##0.00000000000;[Red]\-&quot;R$&quot;\ #,##0.00000000000"/>
    <numFmt numFmtId="180" formatCode="&quot;R$&quot;\ #,##0.000000000000;[Red]\-&quot;R$&quot;\ #,##0.000000000000"/>
    <numFmt numFmtId="181" formatCode="&quot;R$&quot;\ #,##0.0000000000000;[Red]\-&quot;R$&quot;\ #,##0.0000000000000"/>
    <numFmt numFmtId="182" formatCode="&quot;R$&quot;\ #,##0.00000000000000;[Red]\-&quot;R$&quot;\ #,##0.00000000000000"/>
    <numFmt numFmtId="183" formatCode="_-&quot;R$ &quot;* #,##0.000_-;&quot;-R$ &quot;* #,##0.000_-;_-&quot;R$ &quot;* \-??_-;_-@_-"/>
    <numFmt numFmtId="184" formatCode="_-&quot;R$ &quot;* #,##0.0000_-;&quot;-R$ &quot;* #,##0.0000_-;_-&quot;R$ &quot;* \-??_-;_-@_-"/>
    <numFmt numFmtId="185" formatCode="_-&quot;R$ &quot;* #,##0.00000_-;&quot;-R$ &quot;* #,##0.00000_-;_-&quot;R$ &quot;* \-??_-;_-@_-"/>
    <numFmt numFmtId="186" formatCode="_-&quot;R$ &quot;* #,##0.000000_-;&quot;-R$ &quot;* #,##0.000000_-;_-&quot;R$ &quot;* \-??_-;_-@_-"/>
    <numFmt numFmtId="187" formatCode="_-&quot;R$ &quot;* #,##0.0000000_-;&quot;-R$ &quot;* #,##0.0000000_-;_-&quot;R$ &quot;* \-??_-;_-@_-"/>
    <numFmt numFmtId="188" formatCode="[$-416]dddd\,\ d&quot; de &quot;mmmm&quot; de &quot;yyyy"/>
    <numFmt numFmtId="189" formatCode="0.0%"/>
    <numFmt numFmtId="190" formatCode="0.0000%"/>
    <numFmt numFmtId="191" formatCode="0.00000%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_-* #,##0.0_-;\-* #,##0.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&quot;Activado&quot;;&quot;Activado&quot;;&quot;Desactivado&quot;"/>
    <numFmt numFmtId="202" formatCode="00"/>
    <numFmt numFmtId="203" formatCode="#,##0.000"/>
    <numFmt numFmtId="204" formatCode="[$R$ -416]#,##0.00"/>
    <numFmt numFmtId="205" formatCode="0.00000000E+00"/>
  </numFmts>
  <fonts count="74"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ill="0" applyBorder="0" applyAlignment="0" applyProtection="0"/>
  </cellStyleXfs>
  <cellXfs count="28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65" fontId="0" fillId="33" borderId="0" xfId="0" applyNumberForma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vertical="center"/>
      <protection locked="0"/>
    </xf>
    <xf numFmtId="9" fontId="6" fillId="33" borderId="0" xfId="53" applyFont="1" applyFill="1" applyBorder="1" applyAlignment="1" applyProtection="1">
      <alignment horizontal="center" vertical="center"/>
      <protection/>
    </xf>
    <xf numFmtId="166" fontId="0" fillId="33" borderId="0" xfId="0" applyNumberFormat="1" applyFill="1" applyAlignment="1">
      <alignment horizontal="center" vertical="center"/>
    </xf>
    <xf numFmtId="166" fontId="0" fillId="33" borderId="0" xfId="0" applyNumberForma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2" fontId="5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8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1" fillId="0" borderId="17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8" fontId="5" fillId="0" borderId="0" xfId="0" applyNumberFormat="1" applyFont="1" applyAlignment="1">
      <alignment/>
    </xf>
    <xf numFmtId="43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8" fontId="11" fillId="0" borderId="17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164" fontId="15" fillId="0" borderId="20" xfId="47" applyFont="1" applyFill="1" applyBorder="1" applyAlignment="1" applyProtection="1">
      <alignment vertical="center"/>
      <protection/>
    </xf>
    <xf numFmtId="164" fontId="15" fillId="0" borderId="20" xfId="47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164" fontId="15" fillId="34" borderId="20" xfId="47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164" fontId="4" fillId="0" borderId="22" xfId="47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64" fontId="15" fillId="33" borderId="20" xfId="47" applyFont="1" applyFill="1" applyBorder="1" applyAlignment="1" applyProtection="1">
      <alignment vertical="center"/>
      <protection/>
    </xf>
    <xf numFmtId="164" fontId="4" fillId="33" borderId="22" xfId="47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2" fontId="2" fillId="33" borderId="27" xfId="0" applyNumberFormat="1" applyFont="1" applyFill="1" applyBorder="1" applyAlignment="1">
      <alignment horizontal="center" vertical="center"/>
    </xf>
    <xf numFmtId="164" fontId="15" fillId="33" borderId="16" xfId="47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horizontal="justify" vertical="center" wrapText="1"/>
    </xf>
    <xf numFmtId="2" fontId="16" fillId="33" borderId="19" xfId="0" applyNumberFormat="1" applyFont="1" applyFill="1" applyBorder="1" applyAlignment="1">
      <alignment horizontal="center" vertical="center"/>
    </xf>
    <xf numFmtId="164" fontId="16" fillId="33" borderId="20" xfId="47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horizontal="justify" vertical="center" wrapText="1"/>
    </xf>
    <xf numFmtId="2" fontId="2" fillId="33" borderId="19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4" fillId="0" borderId="15" xfId="0" applyFont="1" applyBorder="1" applyAlignment="1">
      <alignment horizontal="justify" vertical="center" wrapText="1"/>
    </xf>
    <xf numFmtId="2" fontId="4" fillId="33" borderId="21" xfId="0" applyNumberFormat="1" applyFont="1" applyFill="1" applyBorder="1" applyAlignment="1">
      <alignment horizontal="center" vertical="center"/>
    </xf>
    <xf numFmtId="164" fontId="4" fillId="33" borderId="22" xfId="47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7" fillId="33" borderId="27" xfId="0" applyFont="1" applyFill="1" applyBorder="1" applyAlignment="1">
      <alignment vertical="center"/>
    </xf>
    <xf numFmtId="0" fontId="17" fillId="33" borderId="16" xfId="0" applyFont="1" applyFill="1" applyBorder="1" applyAlignment="1">
      <alignment vertical="center"/>
    </xf>
    <xf numFmtId="0" fontId="2" fillId="0" borderId="19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>
      <alignment horizontal="center"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166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164" fontId="4" fillId="0" borderId="22" xfId="47" applyNumberFormat="1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>
      <alignment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4" fontId="15" fillId="33" borderId="17" xfId="49" applyNumberFormat="1" applyFont="1" applyFill="1" applyBorder="1" applyAlignment="1" applyProtection="1">
      <alignment vertical="center"/>
      <protection/>
    </xf>
    <xf numFmtId="2" fontId="2" fillId="33" borderId="17" xfId="51" applyNumberFormat="1" applyFont="1" applyFill="1" applyBorder="1" applyAlignment="1">
      <alignment vertical="center"/>
      <protection/>
    </xf>
    <xf numFmtId="0" fontId="2" fillId="33" borderId="17" xfId="0" applyFont="1" applyFill="1" applyBorder="1" applyAlignment="1">
      <alignment vertical="center"/>
    </xf>
    <xf numFmtId="164" fontId="4" fillId="33" borderId="17" xfId="47" applyFont="1" applyFill="1" applyBorder="1" applyAlignment="1" applyProtection="1">
      <alignment vertical="center"/>
      <protection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 wrapText="1"/>
    </xf>
    <xf numFmtId="0" fontId="2" fillId="0" borderId="30" xfId="51" applyFont="1" applyBorder="1" applyAlignment="1">
      <alignment horizontal="justify" vertical="center" wrapText="1"/>
      <protection/>
    </xf>
    <xf numFmtId="4" fontId="15" fillId="33" borderId="31" xfId="49" applyNumberFormat="1" applyFont="1" applyFill="1" applyBorder="1" applyAlignment="1" applyProtection="1">
      <alignment vertical="center"/>
      <protection/>
    </xf>
    <xf numFmtId="0" fontId="2" fillId="0" borderId="32" xfId="51" applyFont="1" applyBorder="1" applyAlignment="1">
      <alignment horizontal="justify" vertical="center" wrapText="1"/>
      <protection/>
    </xf>
    <xf numFmtId="0" fontId="4" fillId="0" borderId="21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2" fontId="4" fillId="33" borderId="2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164" fontId="4" fillId="0" borderId="22" xfId="47" applyFont="1" applyFill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justify" vertical="center" wrapText="1"/>
    </xf>
    <xf numFmtId="0" fontId="4" fillId="0" borderId="16" xfId="0" applyFont="1" applyBorder="1" applyAlignment="1">
      <alignment vertical="center" wrapText="1"/>
    </xf>
    <xf numFmtId="164" fontId="4" fillId="33" borderId="20" xfId="47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2" fontId="4" fillId="33" borderId="20" xfId="0" applyNumberFormat="1" applyFont="1" applyFill="1" applyBorder="1" applyAlignment="1">
      <alignment vertical="center"/>
    </xf>
    <xf numFmtId="164" fontId="4" fillId="33" borderId="33" xfId="47" applyFont="1" applyFill="1" applyBorder="1" applyAlignment="1" applyProtection="1">
      <alignment vertical="center"/>
      <protection/>
    </xf>
    <xf numFmtId="4" fontId="15" fillId="0" borderId="17" xfId="49" applyNumberFormat="1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64" fontId="15" fillId="33" borderId="17" xfId="47" applyFont="1" applyFill="1" applyBorder="1" applyAlignment="1" applyProtection="1">
      <alignment vertical="center"/>
      <protection/>
    </xf>
    <xf numFmtId="0" fontId="4" fillId="0" borderId="34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8" fontId="10" fillId="0" borderId="17" xfId="0" applyNumberFormat="1" applyFont="1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/>
    </xf>
    <xf numFmtId="8" fontId="5" fillId="0" borderId="17" xfId="0" applyNumberFormat="1" applyFont="1" applyBorder="1" applyAlignment="1">
      <alignment horizontal="center" vertical="center"/>
    </xf>
    <xf numFmtId="200" fontId="0" fillId="33" borderId="0" xfId="0" applyNumberFormat="1" applyFill="1" applyAlignment="1">
      <alignment horizontal="center" vertical="center"/>
    </xf>
    <xf numFmtId="164" fontId="15" fillId="35" borderId="20" xfId="47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left" vertical="center"/>
      <protection locked="0"/>
    </xf>
    <xf numFmtId="164" fontId="15" fillId="35" borderId="33" xfId="47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43" fontId="0" fillId="33" borderId="0" xfId="0" applyNumberFormat="1" applyFill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vertical="center"/>
      <protection locked="0"/>
    </xf>
    <xf numFmtId="164" fontId="15" fillId="0" borderId="33" xfId="47" applyFont="1" applyFill="1" applyBorder="1" applyAlignment="1" applyProtection="1">
      <alignment vertical="center"/>
      <protection locked="0"/>
    </xf>
    <xf numFmtId="168" fontId="67" fillId="0" borderId="20" xfId="47" applyNumberFormat="1" applyFont="1" applyFill="1" applyBorder="1" applyAlignment="1" applyProtection="1">
      <alignment vertical="center"/>
      <protection locked="0"/>
    </xf>
    <xf numFmtId="168" fontId="15" fillId="0" borderId="20" xfId="47" applyNumberFormat="1" applyFont="1" applyFill="1" applyBorder="1" applyAlignment="1" applyProtection="1">
      <alignment vertical="center"/>
      <protection locked="0"/>
    </xf>
    <xf numFmtId="168" fontId="0" fillId="33" borderId="0" xfId="0" applyNumberFormat="1" applyFill="1" applyAlignment="1">
      <alignment vertical="center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36" xfId="0" applyFont="1" applyBorder="1" applyAlignment="1">
      <alignment/>
    </xf>
    <xf numFmtId="0" fontId="69" fillId="34" borderId="0" xfId="0" applyFont="1" applyFill="1" applyAlignment="1">
      <alignment/>
    </xf>
    <xf numFmtId="0" fontId="69" fillId="0" borderId="37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9" fillId="0" borderId="1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4" fontId="69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0" fontId="12" fillId="2" borderId="39" xfId="0" applyFont="1" applyFill="1" applyBorder="1" applyAlignment="1">
      <alignment horizontal="center" vertical="top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vertical="center" wrapText="1"/>
    </xf>
    <xf numFmtId="0" fontId="42" fillId="36" borderId="17" xfId="0" applyFont="1" applyFill="1" applyBorder="1" applyAlignment="1">
      <alignment horizontal="center" vertical="center" textRotation="90" wrapText="1"/>
    </xf>
    <xf numFmtId="0" fontId="43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 wrapText="1"/>
    </xf>
    <xf numFmtId="0" fontId="44" fillId="0" borderId="44" xfId="0" applyFont="1" applyBorder="1" applyAlignment="1">
      <alignment/>
    </xf>
    <xf numFmtId="0" fontId="44" fillId="0" borderId="44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4" fontId="44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vertical="center" wrapText="1"/>
    </xf>
    <xf numFmtId="0" fontId="66" fillId="0" borderId="0" xfId="0" applyFont="1" applyAlignment="1">
      <alignment horizontal="center" vertical="center"/>
    </xf>
    <xf numFmtId="0" fontId="44" fillId="0" borderId="40" xfId="0" applyFont="1" applyBorder="1" applyAlignment="1">
      <alignment/>
    </xf>
    <xf numFmtId="0" fontId="45" fillId="0" borderId="45" xfId="0" applyFont="1" applyBorder="1" applyAlignment="1">
      <alignment vertical="center"/>
    </xf>
    <xf numFmtId="0" fontId="71" fillId="0" borderId="46" xfId="0" applyFont="1" applyBorder="1" applyAlignment="1">
      <alignment/>
    </xf>
    <xf numFmtId="0" fontId="71" fillId="0" borderId="46" xfId="0" applyFont="1" applyBorder="1" applyAlignment="1">
      <alignment vertical="center"/>
    </xf>
    <xf numFmtId="0" fontId="71" fillId="0" borderId="47" xfId="0" applyFont="1" applyBorder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68" fillId="8" borderId="37" xfId="0" applyFont="1" applyFill="1" applyBorder="1" applyAlignment="1">
      <alignment horizontal="center" vertical="center" wrapText="1"/>
    </xf>
    <xf numFmtId="0" fontId="68" fillId="8" borderId="48" xfId="0" applyFont="1" applyFill="1" applyBorder="1" applyAlignment="1">
      <alignment horizontal="center" vertical="center" wrapText="1"/>
    </xf>
    <xf numFmtId="0" fontId="68" fillId="8" borderId="17" xfId="0" applyFont="1" applyFill="1" applyBorder="1" applyAlignment="1">
      <alignment horizontal="center" vertical="center" wrapText="1"/>
    </xf>
    <xf numFmtId="0" fontId="68" fillId="8" borderId="49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1" fontId="69" fillId="0" borderId="17" xfId="0" applyNumberFormat="1" applyFont="1" applyBorder="1" applyAlignment="1">
      <alignment horizontal="center" vertical="center" wrapText="1"/>
    </xf>
    <xf numFmtId="8" fontId="69" fillId="0" borderId="17" xfId="0" applyNumberFormat="1" applyFont="1" applyBorder="1" applyAlignment="1">
      <alignment horizontal="center" vertical="center" wrapText="1"/>
    </xf>
    <xf numFmtId="168" fontId="69" fillId="0" borderId="49" xfId="0" applyNumberFormat="1" applyFont="1" applyBorder="1" applyAlignment="1">
      <alignment horizontal="center" vertical="center" wrapText="1"/>
    </xf>
    <xf numFmtId="168" fontId="68" fillId="8" borderId="50" xfId="0" applyNumberFormat="1" applyFont="1" applyFill="1" applyBorder="1" applyAlignment="1">
      <alignment horizontal="center" vertical="center"/>
    </xf>
    <xf numFmtId="2" fontId="68" fillId="8" borderId="38" xfId="0" applyNumberFormat="1" applyFont="1" applyFill="1" applyBorder="1" applyAlignment="1">
      <alignment horizontal="center" vertical="center"/>
    </xf>
    <xf numFmtId="1" fontId="68" fillId="8" borderId="38" xfId="0" applyNumberFormat="1" applyFont="1" applyFill="1" applyBorder="1" applyAlignment="1">
      <alignment horizontal="center" vertical="center"/>
    </xf>
    <xf numFmtId="168" fontId="68" fillId="8" borderId="51" xfId="0" applyNumberFormat="1" applyFont="1" applyFill="1" applyBorder="1" applyAlignment="1">
      <alignment horizontal="center" vertical="center"/>
    </xf>
    <xf numFmtId="168" fontId="68" fillId="34" borderId="0" xfId="0" applyNumberFormat="1" applyFont="1" applyFill="1" applyAlignment="1">
      <alignment horizontal="center" vertical="center"/>
    </xf>
    <xf numFmtId="1" fontId="68" fillId="34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69" fillId="0" borderId="52" xfId="0" applyFont="1" applyBorder="1" applyAlignment="1">
      <alignment vertical="center" wrapText="1"/>
    </xf>
    <xf numFmtId="4" fontId="68" fillId="0" borderId="17" xfId="0" applyNumberFormat="1" applyFont="1" applyBorder="1" applyAlignment="1">
      <alignment horizontal="center" vertical="center" wrapText="1"/>
    </xf>
    <xf numFmtId="4" fontId="69" fillId="0" borderId="17" xfId="0" applyNumberFormat="1" applyFont="1" applyBorder="1" applyAlignment="1">
      <alignment horizontal="center" vertical="center" wrapText="1"/>
    </xf>
    <xf numFmtId="4" fontId="69" fillId="0" borderId="49" xfId="0" applyNumberFormat="1" applyFont="1" applyBorder="1" applyAlignment="1">
      <alignment horizontal="center" vertical="center" wrapText="1"/>
    </xf>
    <xf numFmtId="0" fontId="68" fillId="0" borderId="50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4" fontId="68" fillId="0" borderId="38" xfId="0" applyNumberFormat="1" applyFont="1" applyBorder="1" applyAlignment="1">
      <alignment horizontal="center" vertical="center" wrapText="1"/>
    </xf>
    <xf numFmtId="4" fontId="68" fillId="0" borderId="51" xfId="0" applyNumberFormat="1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>
      <alignment horizontal="center" vertical="center"/>
    </xf>
    <xf numFmtId="164" fontId="8" fillId="33" borderId="20" xfId="47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>
      <alignment horizontal="center" vertical="center"/>
    </xf>
    <xf numFmtId="0" fontId="0" fillId="0" borderId="54" xfId="44" applyNumberFormat="1" applyFont="1" applyFill="1" applyBorder="1" applyAlignment="1" applyProtection="1">
      <alignment horizontal="center"/>
      <protection/>
    </xf>
    <xf numFmtId="0" fontId="0" fillId="0" borderId="55" xfId="44" applyNumberFormat="1" applyFont="1" applyFill="1" applyBorder="1" applyAlignment="1" applyProtection="1">
      <alignment horizontal="center"/>
      <protection/>
    </xf>
    <xf numFmtId="0" fontId="0" fillId="0" borderId="56" xfId="44" applyNumberFormat="1" applyFont="1" applyFill="1" applyBorder="1" applyAlignment="1" applyProtection="1">
      <alignment horizontal="center"/>
      <protection/>
    </xf>
    <xf numFmtId="165" fontId="0" fillId="33" borderId="22" xfId="0" applyNumberFormat="1" applyFont="1" applyFill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distributed" wrapText="1" shrinkToFit="1" readingOrder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distributed" wrapText="1" shrinkToFit="1" readingOrder="1"/>
    </xf>
    <xf numFmtId="0" fontId="12" fillId="0" borderId="0" xfId="0" applyFont="1" applyAlignment="1">
      <alignment horizontal="center" vertical="center" wrapText="1"/>
    </xf>
    <xf numFmtId="0" fontId="68" fillId="8" borderId="58" xfId="0" applyFont="1" applyFill="1" applyBorder="1" applyAlignment="1">
      <alignment horizontal="center" vertical="center" wrapText="1"/>
    </xf>
    <xf numFmtId="0" fontId="68" fillId="8" borderId="52" xfId="0" applyFont="1" applyFill="1" applyBorder="1" applyAlignment="1">
      <alignment horizontal="center" vertical="center" wrapText="1"/>
    </xf>
    <xf numFmtId="3" fontId="68" fillId="0" borderId="35" xfId="0" applyNumberFormat="1" applyFont="1" applyBorder="1" applyAlignment="1">
      <alignment horizontal="center" vertical="center" wrapText="1"/>
    </xf>
    <xf numFmtId="3" fontId="68" fillId="0" borderId="59" xfId="0" applyNumberFormat="1" applyFont="1" applyBorder="1" applyAlignment="1">
      <alignment horizontal="center" vertical="center" wrapText="1"/>
    </xf>
    <xf numFmtId="3" fontId="68" fillId="0" borderId="60" xfId="0" applyNumberFormat="1" applyFont="1" applyBorder="1" applyAlignment="1">
      <alignment horizontal="center" vertical="center" wrapText="1"/>
    </xf>
    <xf numFmtId="168" fontId="68" fillId="8" borderId="61" xfId="0" applyNumberFormat="1" applyFont="1" applyFill="1" applyBorder="1" applyAlignment="1">
      <alignment horizontal="center" vertical="center" wrapText="1"/>
    </xf>
    <xf numFmtId="168" fontId="68" fillId="8" borderId="62" xfId="0" applyNumberFormat="1" applyFont="1" applyFill="1" applyBorder="1" applyAlignment="1">
      <alignment horizontal="center" vertical="center" wrapText="1"/>
    </xf>
    <xf numFmtId="168" fontId="68" fillId="8" borderId="63" xfId="0" applyNumberFormat="1" applyFont="1" applyFill="1" applyBorder="1" applyAlignment="1">
      <alignment horizontal="center" vertical="center" wrapText="1"/>
    </xf>
    <xf numFmtId="0" fontId="72" fillId="34" borderId="37" xfId="0" applyFont="1" applyFill="1" applyBorder="1" applyAlignment="1">
      <alignment horizontal="left" vertical="center"/>
    </xf>
    <xf numFmtId="0" fontId="72" fillId="34" borderId="48" xfId="0" applyFont="1" applyFill="1" applyBorder="1" applyAlignment="1">
      <alignment horizontal="left" vertical="center"/>
    </xf>
    <xf numFmtId="0" fontId="72" fillId="34" borderId="17" xfId="0" applyFont="1" applyFill="1" applyBorder="1" applyAlignment="1">
      <alignment horizontal="left" vertical="center"/>
    </xf>
    <xf numFmtId="0" fontId="72" fillId="34" borderId="49" xfId="0" applyFont="1" applyFill="1" applyBorder="1" applyAlignment="1">
      <alignment horizontal="left" vertical="center"/>
    </xf>
    <xf numFmtId="0" fontId="72" fillId="34" borderId="38" xfId="0" applyFont="1" applyFill="1" applyBorder="1" applyAlignment="1">
      <alignment horizontal="left" vertical="center"/>
    </xf>
    <xf numFmtId="0" fontId="72" fillId="34" borderId="51" xfId="0" applyFont="1" applyFill="1" applyBorder="1" applyAlignment="1">
      <alignment horizontal="left" vertical="center"/>
    </xf>
    <xf numFmtId="0" fontId="68" fillId="0" borderId="52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8" borderId="37" xfId="0" applyFont="1" applyFill="1" applyBorder="1" applyAlignment="1">
      <alignment horizontal="center" vertical="center" wrapText="1"/>
    </xf>
    <xf numFmtId="0" fontId="68" fillId="8" borderId="17" xfId="0" applyFont="1" applyFill="1" applyBorder="1" applyAlignment="1">
      <alignment horizontal="center" vertical="center" wrapText="1"/>
    </xf>
    <xf numFmtId="0" fontId="45" fillId="0" borderId="64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65" xfId="0" applyFont="1" applyBorder="1" applyAlignment="1">
      <alignment horizontal="left"/>
    </xf>
    <xf numFmtId="0" fontId="45" fillId="0" borderId="66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67" xfId="0" applyFont="1" applyBorder="1" applyAlignment="1">
      <alignment horizontal="left"/>
    </xf>
    <xf numFmtId="0" fontId="45" fillId="0" borderId="64" xfId="0" applyFont="1" applyBorder="1" applyAlignment="1">
      <alignment/>
    </xf>
    <xf numFmtId="0" fontId="45" fillId="0" borderId="0" xfId="0" applyFont="1" applyAlignment="1">
      <alignment/>
    </xf>
    <xf numFmtId="0" fontId="45" fillId="0" borderId="65" xfId="0" applyFont="1" applyBorder="1" applyAlignment="1">
      <alignment/>
    </xf>
    <xf numFmtId="0" fontId="45" fillId="0" borderId="66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67" xfId="0" applyFont="1" applyBorder="1" applyAlignment="1">
      <alignment/>
    </xf>
    <xf numFmtId="0" fontId="45" fillId="0" borderId="45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45" fillId="0" borderId="47" xfId="0" applyFont="1" applyBorder="1" applyAlignment="1">
      <alignment horizontal="left"/>
    </xf>
    <xf numFmtId="0" fontId="12" fillId="2" borderId="68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SheetLayoutView="100" workbookViewId="0" topLeftCell="A1">
      <selection activeCell="B4" sqref="B4:E4"/>
    </sheetView>
  </sheetViews>
  <sheetFormatPr defaultColWidth="11.421875" defaultRowHeight="12.75"/>
  <cols>
    <col min="1" max="1" width="5.140625" style="1" customWidth="1"/>
    <col min="2" max="2" width="57.57421875" style="1" customWidth="1"/>
    <col min="3" max="3" width="16.7109375" style="1" customWidth="1"/>
    <col min="4" max="4" width="10.28125" style="1" bestFit="1" customWidth="1"/>
    <col min="5" max="5" width="6.8515625" style="1" bestFit="1" customWidth="1"/>
    <col min="6" max="6" width="7.8515625" style="2" bestFit="1" customWidth="1"/>
    <col min="7" max="7" width="11.421875" style="1" customWidth="1"/>
    <col min="8" max="8" width="46.00390625" style="1" customWidth="1"/>
    <col min="9" max="9" width="17.00390625" style="1" customWidth="1"/>
    <col min="10" max="10" width="14.28125" style="1" customWidth="1"/>
    <col min="11" max="16384" width="11.421875" style="1" customWidth="1"/>
  </cols>
  <sheetData>
    <row r="1" spans="2:5" ht="12.75">
      <c r="B1" s="235" t="s">
        <v>0</v>
      </c>
      <c r="C1" s="235"/>
      <c r="D1" s="235"/>
      <c r="E1" s="235"/>
    </row>
    <row r="2" spans="2:5" ht="12.75">
      <c r="B2" s="236" t="s">
        <v>1</v>
      </c>
      <c r="C2" s="236"/>
      <c r="D2" s="236"/>
      <c r="E2" s="236"/>
    </row>
    <row r="3" spans="2:5" ht="12.75">
      <c r="B3" s="236" t="s">
        <v>2</v>
      </c>
      <c r="C3" s="236"/>
      <c r="D3" s="236"/>
      <c r="E3" s="236"/>
    </row>
    <row r="4" spans="2:5" ht="12.75">
      <c r="B4" s="229" t="s">
        <v>204</v>
      </c>
      <c r="C4" s="229"/>
      <c r="D4" s="229"/>
      <c r="E4" s="229"/>
    </row>
    <row r="5" spans="2:5" ht="24" customHeight="1">
      <c r="B5" s="237" t="s">
        <v>3</v>
      </c>
      <c r="C5" s="237"/>
      <c r="D5" s="237"/>
      <c r="E5" s="237"/>
    </row>
    <row r="6" spans="2:5" ht="12.75">
      <c r="B6" s="238" t="s">
        <v>130</v>
      </c>
      <c r="C6" s="238"/>
      <c r="D6" s="238"/>
      <c r="E6" s="238"/>
    </row>
    <row r="7" spans="2:5" ht="12.75">
      <c r="B7" s="229" t="s">
        <v>201</v>
      </c>
      <c r="C7" s="229"/>
      <c r="D7" s="229"/>
      <c r="E7" s="229"/>
    </row>
    <row r="8" spans="2:5" ht="12.75">
      <c r="B8" s="230" t="s">
        <v>203</v>
      </c>
      <c r="C8" s="230"/>
      <c r="D8" s="230"/>
      <c r="E8" s="230"/>
    </row>
    <row r="9" ht="12.75"/>
    <row r="10" spans="1:5" s="2" customFormat="1" ht="23.25" customHeight="1">
      <c r="A10" s="1"/>
      <c r="B10" s="231" t="s">
        <v>4</v>
      </c>
      <c r="C10" s="231"/>
      <c r="D10" s="231"/>
      <c r="E10" s="231"/>
    </row>
    <row r="11" spans="1:5" s="2" customFormat="1" ht="17.25" customHeight="1" thickBot="1">
      <c r="A11" s="1"/>
      <c r="B11" s="3" t="s">
        <v>5</v>
      </c>
      <c r="C11" s="4"/>
      <c r="D11" s="4"/>
      <c r="E11" s="4"/>
    </row>
    <row r="12" spans="1:5" s="2" customFormat="1" ht="15.75" customHeight="1">
      <c r="A12" s="1"/>
      <c r="B12" s="5" t="s">
        <v>6</v>
      </c>
      <c r="C12" s="232" t="s">
        <v>121</v>
      </c>
      <c r="D12" s="232"/>
      <c r="E12" s="232"/>
    </row>
    <row r="13" spans="1:5" s="2" customFormat="1" ht="15.75" customHeight="1">
      <c r="A13" s="1"/>
      <c r="B13" s="6" t="s">
        <v>7</v>
      </c>
      <c r="C13" s="222">
        <v>25.11</v>
      </c>
      <c r="D13" s="222"/>
      <c r="E13" s="222"/>
    </row>
    <row r="14" spans="1:5" s="2" customFormat="1" ht="15.75" customHeight="1">
      <c r="A14" s="1"/>
      <c r="B14" s="7" t="s">
        <v>8</v>
      </c>
      <c r="C14" s="233" t="s">
        <v>122</v>
      </c>
      <c r="D14" s="234"/>
      <c r="E14" s="234"/>
    </row>
    <row r="15" spans="1:5" s="2" customFormat="1" ht="15.75" customHeight="1">
      <c r="A15" s="1"/>
      <c r="B15" s="6" t="s">
        <v>9</v>
      </c>
      <c r="C15" s="221">
        <v>1099.9</v>
      </c>
      <c r="D15" s="221"/>
      <c r="E15" s="221"/>
    </row>
    <row r="16" spans="1:5" s="2" customFormat="1" ht="15.75" customHeight="1">
      <c r="A16" s="1"/>
      <c r="B16" s="8" t="s">
        <v>10</v>
      </c>
      <c r="C16" s="222" t="s">
        <v>123</v>
      </c>
      <c r="D16" s="222"/>
      <c r="E16" s="222"/>
    </row>
    <row r="17" spans="1:5" s="2" customFormat="1" ht="15.75" customHeight="1">
      <c r="A17" s="1"/>
      <c r="B17" s="9" t="s">
        <v>119</v>
      </c>
      <c r="C17" s="223">
        <v>2</v>
      </c>
      <c r="D17" s="224"/>
      <c r="E17" s="225"/>
    </row>
    <row r="18" spans="1:5" s="2" customFormat="1" ht="15.75" customHeight="1" thickBot="1">
      <c r="A18" s="1"/>
      <c r="B18" s="10" t="s">
        <v>11</v>
      </c>
      <c r="C18" s="226">
        <v>43466</v>
      </c>
      <c r="D18" s="226"/>
      <c r="E18" s="226"/>
    </row>
    <row r="19" spans="1:3" s="2" customFormat="1" ht="15.75" customHeight="1">
      <c r="A19" s="1"/>
      <c r="B19" s="1"/>
      <c r="C19" s="11"/>
    </row>
    <row r="20" spans="1:2" s="2" customFormat="1" ht="12" customHeight="1" thickBot="1">
      <c r="A20" s="1"/>
      <c r="B20" s="1"/>
    </row>
    <row r="21" spans="1:3" s="2" customFormat="1" ht="15.75" customHeight="1">
      <c r="A21" s="227" t="s">
        <v>12</v>
      </c>
      <c r="B21" s="227"/>
      <c r="C21" s="227"/>
    </row>
    <row r="22" spans="1:3" s="2" customFormat="1" ht="15.75" customHeight="1">
      <c r="A22" s="38">
        <v>1</v>
      </c>
      <c r="B22" s="39" t="s">
        <v>13</v>
      </c>
      <c r="C22" s="40" t="s">
        <v>14</v>
      </c>
    </row>
    <row r="23" spans="1:3" s="2" customFormat="1" ht="15.75" customHeight="1">
      <c r="A23" s="41" t="s">
        <v>15</v>
      </c>
      <c r="B23" s="42" t="s">
        <v>16</v>
      </c>
      <c r="C23" s="43">
        <f>C15</f>
        <v>1099.9</v>
      </c>
    </row>
    <row r="24" spans="1:3" s="2" customFormat="1" ht="15.75" customHeight="1">
      <c r="A24" s="41" t="s">
        <v>17</v>
      </c>
      <c r="B24" s="42" t="s">
        <v>18</v>
      </c>
      <c r="C24" s="44"/>
    </row>
    <row r="25" spans="1:6" ht="15.75" customHeight="1">
      <c r="A25" s="41" t="s">
        <v>19</v>
      </c>
      <c r="B25" s="42" t="s">
        <v>20</v>
      </c>
      <c r="C25" s="44"/>
      <c r="D25" s="2"/>
      <c r="F25" s="1"/>
    </row>
    <row r="26" spans="1:6" ht="15.75" customHeight="1">
      <c r="A26" s="41" t="s">
        <v>21</v>
      </c>
      <c r="B26" s="45" t="s">
        <v>22</v>
      </c>
      <c r="C26" s="44"/>
      <c r="D26" s="2"/>
      <c r="F26" s="1"/>
    </row>
    <row r="27" spans="1:6" ht="15.75" customHeight="1">
      <c r="A27" s="41" t="s">
        <v>23</v>
      </c>
      <c r="B27" s="45" t="s">
        <v>102</v>
      </c>
      <c r="C27" s="44"/>
      <c r="D27" s="2"/>
      <c r="F27" s="1"/>
    </row>
    <row r="28" spans="1:6" ht="15.75" customHeight="1">
      <c r="A28" s="41" t="s">
        <v>24</v>
      </c>
      <c r="B28" s="46" t="s">
        <v>113</v>
      </c>
      <c r="C28" s="47"/>
      <c r="D28" s="2"/>
      <c r="F28" s="1"/>
    </row>
    <row r="29" spans="1:6" ht="15.75" customHeight="1" thickBot="1">
      <c r="A29" s="48"/>
      <c r="B29" s="49" t="s">
        <v>25</v>
      </c>
      <c r="C29" s="50">
        <f>SUM(C23:C28)</f>
        <v>1099.9</v>
      </c>
      <c r="D29" s="2"/>
      <c r="F29" s="1"/>
    </row>
    <row r="30" spans="2:6" ht="15.75" customHeight="1" thickBot="1">
      <c r="B30" s="228"/>
      <c r="C30" s="228"/>
      <c r="D30" s="228"/>
      <c r="E30" s="2"/>
      <c r="F30" s="1"/>
    </row>
    <row r="31" spans="1:6" ht="15.75" customHeight="1">
      <c r="A31" s="5"/>
      <c r="B31" s="215" t="s">
        <v>26</v>
      </c>
      <c r="C31" s="215"/>
      <c r="D31" s="2"/>
      <c r="F31" s="1"/>
    </row>
    <row r="32" spans="1:6" ht="15.75" customHeight="1">
      <c r="A32" s="51"/>
      <c r="B32" s="217" t="s">
        <v>27</v>
      </c>
      <c r="C32" s="217"/>
      <c r="D32" s="2"/>
      <c r="F32" s="1"/>
    </row>
    <row r="33" spans="1:6" ht="15.75" customHeight="1">
      <c r="A33" s="38" t="s">
        <v>28</v>
      </c>
      <c r="B33" s="54" t="s">
        <v>29</v>
      </c>
      <c r="C33" s="40" t="s">
        <v>30</v>
      </c>
      <c r="D33" s="2"/>
      <c r="F33" s="1"/>
    </row>
    <row r="34" spans="1:6" ht="15.75" customHeight="1">
      <c r="A34" s="41" t="s">
        <v>15</v>
      </c>
      <c r="B34" s="52" t="s">
        <v>31</v>
      </c>
      <c r="C34" s="55">
        <f>C29*8.33%</f>
        <v>91.62167000000001</v>
      </c>
      <c r="D34" s="2"/>
      <c r="F34" s="1"/>
    </row>
    <row r="35" spans="1:6" ht="15.75" customHeight="1">
      <c r="A35" s="41" t="s">
        <v>17</v>
      </c>
      <c r="B35" s="52" t="s">
        <v>32</v>
      </c>
      <c r="C35" s="55">
        <f>C29*12.1%</f>
        <v>133.08790000000002</v>
      </c>
      <c r="D35" s="142"/>
      <c r="F35" s="1"/>
    </row>
    <row r="36" spans="1:6" ht="15.75" customHeight="1">
      <c r="A36" s="133"/>
      <c r="B36" s="136" t="s">
        <v>33</v>
      </c>
      <c r="C36" s="131">
        <f>SUM(C34:C35)</f>
        <v>224.70957000000004</v>
      </c>
      <c r="D36" s="35"/>
      <c r="F36" s="1"/>
    </row>
    <row r="37" spans="1:6" ht="35.25" customHeight="1">
      <c r="A37" s="134" t="s">
        <v>19</v>
      </c>
      <c r="B37" s="137" t="s">
        <v>118</v>
      </c>
      <c r="C37" s="135">
        <f>C29*7.82%</f>
        <v>86.01218000000001</v>
      </c>
      <c r="D37" s="35"/>
      <c r="F37" s="1"/>
    </row>
    <row r="38" spans="5:6" ht="15.75" customHeight="1" thickBot="1">
      <c r="E38" s="2"/>
      <c r="F38" s="1"/>
    </row>
    <row r="39" spans="1:6" ht="24.75" customHeight="1" thickBot="1">
      <c r="A39" s="218" t="s">
        <v>34</v>
      </c>
      <c r="B39" s="218"/>
      <c r="C39" s="218"/>
      <c r="D39" s="218"/>
      <c r="E39" s="2"/>
      <c r="F39" s="1"/>
    </row>
    <row r="40" spans="1:6" ht="13.5" customHeight="1" thickBot="1">
      <c r="A40" s="57" t="s">
        <v>35</v>
      </c>
      <c r="B40" s="58" t="s">
        <v>36</v>
      </c>
      <c r="C40" s="59" t="s">
        <v>37</v>
      </c>
      <c r="D40" s="60" t="s">
        <v>14</v>
      </c>
      <c r="E40" s="2"/>
      <c r="F40" s="1"/>
    </row>
    <row r="41" spans="1:6" ht="14.25" customHeight="1">
      <c r="A41" s="61" t="s">
        <v>15</v>
      </c>
      <c r="B41" s="62" t="s">
        <v>38</v>
      </c>
      <c r="C41" s="63">
        <v>20</v>
      </c>
      <c r="D41" s="64">
        <f>(C29*(C41/100))</f>
        <v>219.98000000000002</v>
      </c>
      <c r="E41" s="2"/>
      <c r="F41" s="1"/>
    </row>
    <row r="42" spans="1:6" ht="14.25" customHeight="1">
      <c r="A42" s="61" t="s">
        <v>17</v>
      </c>
      <c r="B42" s="65" t="s">
        <v>39</v>
      </c>
      <c r="C42" s="66">
        <v>2.5</v>
      </c>
      <c r="D42" s="67">
        <f>(C29*(C42/100))</f>
        <v>27.497500000000002</v>
      </c>
      <c r="E42" s="2"/>
      <c r="F42" s="1"/>
    </row>
    <row r="43" spans="1:6" ht="14.25" customHeight="1">
      <c r="A43" s="61" t="s">
        <v>19</v>
      </c>
      <c r="B43" s="68" t="s">
        <v>40</v>
      </c>
      <c r="C43" s="69">
        <v>6</v>
      </c>
      <c r="D43" s="55">
        <f aca="true" t="shared" si="0" ref="D43:D48">($C$29*(C43/100))</f>
        <v>65.994</v>
      </c>
      <c r="E43" s="2"/>
      <c r="F43" s="1"/>
    </row>
    <row r="44" spans="1:6" ht="14.25" customHeight="1">
      <c r="A44" s="61" t="s">
        <v>21</v>
      </c>
      <c r="B44" s="65" t="s">
        <v>41</v>
      </c>
      <c r="C44" s="66">
        <v>1.5</v>
      </c>
      <c r="D44" s="67">
        <f t="shared" si="0"/>
        <v>16.4985</v>
      </c>
      <c r="E44" s="2"/>
      <c r="F44" s="1"/>
    </row>
    <row r="45" spans="1:6" ht="14.25" customHeight="1">
      <c r="A45" s="61" t="s">
        <v>23</v>
      </c>
      <c r="B45" s="65" t="s">
        <v>42</v>
      </c>
      <c r="C45" s="66">
        <v>1</v>
      </c>
      <c r="D45" s="67">
        <f t="shared" si="0"/>
        <v>10.999</v>
      </c>
      <c r="E45" s="2"/>
      <c r="F45" s="1"/>
    </row>
    <row r="46" spans="1:6" ht="14.25" customHeight="1">
      <c r="A46" s="61" t="s">
        <v>24</v>
      </c>
      <c r="B46" s="65" t="s">
        <v>43</v>
      </c>
      <c r="C46" s="66">
        <v>0.6000000000000001</v>
      </c>
      <c r="D46" s="67">
        <f t="shared" si="0"/>
        <v>6.599400000000002</v>
      </c>
      <c r="E46" s="2"/>
      <c r="F46" s="1"/>
    </row>
    <row r="47" spans="1:6" ht="14.25" customHeight="1">
      <c r="A47" s="61" t="s">
        <v>44</v>
      </c>
      <c r="B47" s="65" t="s">
        <v>45</v>
      </c>
      <c r="C47" s="66">
        <v>0.2</v>
      </c>
      <c r="D47" s="67">
        <f t="shared" si="0"/>
        <v>2.1998</v>
      </c>
      <c r="E47" s="2"/>
      <c r="F47" s="1"/>
    </row>
    <row r="48" spans="1:6" ht="14.25" customHeight="1">
      <c r="A48" s="61" t="s">
        <v>46</v>
      </c>
      <c r="B48" s="68" t="s">
        <v>47</v>
      </c>
      <c r="C48" s="69">
        <v>8</v>
      </c>
      <c r="D48" s="55">
        <f t="shared" si="0"/>
        <v>87.992</v>
      </c>
      <c r="E48" s="2"/>
      <c r="F48" s="1"/>
    </row>
    <row r="49" spans="1:6" ht="14.25" customHeight="1" thickBot="1">
      <c r="A49" s="70"/>
      <c r="B49" s="71" t="s">
        <v>48</v>
      </c>
      <c r="C49" s="72">
        <f>SUM(C41:C48)</f>
        <v>39.8</v>
      </c>
      <c r="D49" s="73">
        <f>SUM(D41:D48)</f>
        <v>437.7602</v>
      </c>
      <c r="E49" s="2"/>
      <c r="F49" s="1"/>
    </row>
    <row r="50" spans="1:6" ht="14.25" customHeight="1">
      <c r="A50" s="74"/>
      <c r="B50" s="75" t="s">
        <v>49</v>
      </c>
      <c r="C50" s="74"/>
      <c r="D50" s="74"/>
      <c r="E50" s="2"/>
      <c r="F50" s="1"/>
    </row>
    <row r="51" spans="1:6" ht="14.25" customHeight="1" thickBot="1">
      <c r="A51" s="74"/>
      <c r="B51" s="75"/>
      <c r="C51" s="74"/>
      <c r="D51" s="74"/>
      <c r="E51" s="2"/>
      <c r="F51" s="1"/>
    </row>
    <row r="52" spans="1:6" ht="14.25" customHeight="1">
      <c r="A52" s="76"/>
      <c r="B52" s="77" t="s">
        <v>50</v>
      </c>
      <c r="C52" s="78"/>
      <c r="D52" s="2"/>
      <c r="F52" s="1"/>
    </row>
    <row r="53" spans="1:6" ht="14.25" customHeight="1">
      <c r="A53" s="38" t="s">
        <v>51</v>
      </c>
      <c r="B53" s="39" t="s">
        <v>52</v>
      </c>
      <c r="C53" s="40" t="s">
        <v>14</v>
      </c>
      <c r="D53" s="2"/>
      <c r="F53" s="1"/>
    </row>
    <row r="54" spans="1:6" ht="14.25" customHeight="1">
      <c r="A54" s="41" t="s">
        <v>15</v>
      </c>
      <c r="B54" s="79" t="s">
        <v>53</v>
      </c>
      <c r="C54" s="44">
        <f>((5.85*2*C13)-(C15*6%))</f>
        <v>227.79299999999998</v>
      </c>
      <c r="D54" s="2"/>
      <c r="F54" s="1"/>
    </row>
    <row r="55" spans="1:6" ht="14.25" customHeight="1">
      <c r="A55" s="41" t="s">
        <v>17</v>
      </c>
      <c r="B55" s="42" t="s">
        <v>120</v>
      </c>
      <c r="C55" s="44">
        <f>((18*C13)-(18*C13*10%))</f>
        <v>406.78200000000004</v>
      </c>
      <c r="D55" s="2"/>
      <c r="F55" s="1"/>
    </row>
    <row r="56" spans="1:6" ht="14.25" customHeight="1">
      <c r="A56" s="41" t="s">
        <v>19</v>
      </c>
      <c r="B56" s="42" t="s">
        <v>131</v>
      </c>
      <c r="C56" s="44">
        <v>6</v>
      </c>
      <c r="D56" s="2"/>
      <c r="F56" s="1"/>
    </row>
    <row r="57" spans="1:6" ht="14.25" customHeight="1">
      <c r="A57" s="41" t="s">
        <v>133</v>
      </c>
      <c r="B57" s="42" t="s">
        <v>135</v>
      </c>
      <c r="C57" s="44">
        <f>(500*16.77%)/12</f>
        <v>6.9875</v>
      </c>
      <c r="D57" s="2"/>
      <c r="F57" s="1"/>
    </row>
    <row r="58" spans="1:6" ht="14.25" customHeight="1">
      <c r="A58" s="133" t="s">
        <v>134</v>
      </c>
      <c r="B58" s="150" t="s">
        <v>132</v>
      </c>
      <c r="C58" s="151">
        <v>6</v>
      </c>
      <c r="D58" s="2"/>
      <c r="F58" s="1"/>
    </row>
    <row r="59" spans="1:6" ht="14.25" customHeight="1" thickBot="1">
      <c r="A59" s="48"/>
      <c r="B59" s="49" t="s">
        <v>54</v>
      </c>
      <c r="C59" s="50">
        <f>SUM(C54:C58)</f>
        <v>653.5625</v>
      </c>
      <c r="D59" s="2"/>
      <c r="F59" s="1"/>
    </row>
    <row r="60" spans="1:6" ht="14.25" customHeight="1" thickBot="1">
      <c r="A60" s="74"/>
      <c r="B60" s="80"/>
      <c r="C60" s="81"/>
      <c r="D60" s="12"/>
      <c r="E60" s="2"/>
      <c r="F60" s="1"/>
    </row>
    <row r="61" spans="1:6" ht="14.25" customHeight="1">
      <c r="A61" s="76"/>
      <c r="B61" s="82" t="s">
        <v>55</v>
      </c>
      <c r="C61" s="83"/>
      <c r="D61" s="2"/>
      <c r="F61" s="1"/>
    </row>
    <row r="62" spans="1:6" ht="14.25" customHeight="1">
      <c r="A62" s="41">
        <v>2</v>
      </c>
      <c r="B62" s="84" t="s">
        <v>56</v>
      </c>
      <c r="C62" s="85" t="s">
        <v>30</v>
      </c>
      <c r="D62" s="2"/>
      <c r="F62" s="1"/>
    </row>
    <row r="63" spans="1:6" ht="14.25" customHeight="1">
      <c r="A63" s="41" t="s">
        <v>28</v>
      </c>
      <c r="B63" s="42" t="s">
        <v>29</v>
      </c>
      <c r="C63" s="43">
        <f>C36</f>
        <v>224.70957000000004</v>
      </c>
      <c r="D63" s="2"/>
      <c r="F63" s="1"/>
    </row>
    <row r="64" spans="1:6" ht="14.25" customHeight="1">
      <c r="A64" s="41" t="s">
        <v>35</v>
      </c>
      <c r="B64" s="42" t="s">
        <v>36</v>
      </c>
      <c r="C64" s="43">
        <f>D49+C37</f>
        <v>523.77238</v>
      </c>
      <c r="D64" s="2"/>
      <c r="F64" s="1"/>
    </row>
    <row r="65" spans="1:6" ht="14.25" customHeight="1">
      <c r="A65" s="41" t="s">
        <v>51</v>
      </c>
      <c r="B65" s="42" t="s">
        <v>52</v>
      </c>
      <c r="C65" s="43">
        <f>C59</f>
        <v>653.5625</v>
      </c>
      <c r="D65" s="2"/>
      <c r="F65" s="1"/>
    </row>
    <row r="66" spans="1:6" ht="14.25" customHeight="1" thickBot="1">
      <c r="A66" s="48"/>
      <c r="B66" s="86" t="s">
        <v>33</v>
      </c>
      <c r="C66" s="87">
        <f>SUM(C63:C65)</f>
        <v>1402.04445</v>
      </c>
      <c r="D66" s="2"/>
      <c r="F66" s="1"/>
    </row>
    <row r="67" spans="2:6" ht="14.25" customHeight="1" thickBot="1">
      <c r="B67" s="14"/>
      <c r="C67" s="12"/>
      <c r="D67" s="12"/>
      <c r="E67" s="2"/>
      <c r="F67" s="1"/>
    </row>
    <row r="68" spans="1:6" ht="14.25" customHeight="1">
      <c r="A68" s="89"/>
      <c r="B68" s="90" t="s">
        <v>117</v>
      </c>
      <c r="C68" s="91"/>
      <c r="D68" s="2"/>
      <c r="F68" s="1"/>
    </row>
    <row r="69" spans="1:6" ht="14.25" customHeight="1">
      <c r="A69" s="92">
        <v>3</v>
      </c>
      <c r="B69" s="93" t="s">
        <v>57</v>
      </c>
      <c r="C69" s="94" t="s">
        <v>14</v>
      </c>
      <c r="D69" s="2"/>
      <c r="F69" s="1"/>
    </row>
    <row r="70" spans="1:6" ht="14.25" customHeight="1">
      <c r="A70" s="95" t="s">
        <v>15</v>
      </c>
      <c r="B70" s="96" t="s">
        <v>58</v>
      </c>
      <c r="C70" s="132">
        <f>((C29+C34+C35)/12)*5%</f>
        <v>5.519206541666668</v>
      </c>
      <c r="D70" s="2"/>
      <c r="F70" s="1"/>
    </row>
    <row r="71" spans="1:6" ht="14.25" customHeight="1">
      <c r="A71" s="95" t="s">
        <v>17</v>
      </c>
      <c r="B71" s="96" t="s">
        <v>59</v>
      </c>
      <c r="C71" s="97">
        <f>((C29+C34)/12)*5%*8%</f>
        <v>0.39717389000000003</v>
      </c>
      <c r="D71" s="2"/>
      <c r="F71" s="1"/>
    </row>
    <row r="72" spans="1:6" ht="14.25" customHeight="1">
      <c r="A72" s="95" t="s">
        <v>19</v>
      </c>
      <c r="B72" s="96" t="s">
        <v>60</v>
      </c>
      <c r="C72" s="97">
        <v>0</v>
      </c>
      <c r="D72" s="2"/>
      <c r="F72" s="1"/>
    </row>
    <row r="73" spans="1:6" ht="14.25" customHeight="1">
      <c r="A73" s="95" t="s">
        <v>21</v>
      </c>
      <c r="B73" s="96" t="s">
        <v>61</v>
      </c>
      <c r="C73" s="97">
        <f>(((C29+C56)/30/12)*7)</f>
        <v>21.503611111111113</v>
      </c>
      <c r="D73" s="2"/>
      <c r="F73" s="1"/>
    </row>
    <row r="74" spans="1:6" ht="24">
      <c r="A74" s="95" t="s">
        <v>23</v>
      </c>
      <c r="B74" s="96" t="s">
        <v>62</v>
      </c>
      <c r="C74" s="98">
        <f>(C29/30/12*7)*8%</f>
        <v>1.7109555555555556</v>
      </c>
      <c r="D74" s="2"/>
      <c r="F74" s="1"/>
    </row>
    <row r="75" spans="1:6" ht="14.25" customHeight="1">
      <c r="A75" s="95" t="s">
        <v>24</v>
      </c>
      <c r="B75" s="96" t="s">
        <v>63</v>
      </c>
      <c r="C75" s="97">
        <f>C29*4%</f>
        <v>43.996</v>
      </c>
      <c r="D75" s="2"/>
      <c r="F75" s="1"/>
    </row>
    <row r="76" spans="1:6" ht="14.25" customHeight="1">
      <c r="A76" s="99"/>
      <c r="B76" s="93" t="s">
        <v>48</v>
      </c>
      <c r="C76" s="100">
        <f>SUM(C70:C75)</f>
        <v>73.12694709833335</v>
      </c>
      <c r="D76" s="2"/>
      <c r="F76" s="1"/>
    </row>
    <row r="77" spans="5:6" ht="14.25" customHeight="1" thickBot="1">
      <c r="E77" s="2"/>
      <c r="F77" s="1"/>
    </row>
    <row r="78" spans="1:6" ht="14.25" customHeight="1">
      <c r="A78" s="5"/>
      <c r="B78" s="88" t="s">
        <v>116</v>
      </c>
      <c r="C78" s="15"/>
      <c r="D78" s="36"/>
      <c r="F78" s="1"/>
    </row>
    <row r="79" spans="1:6" ht="14.25" customHeight="1">
      <c r="A79" s="51"/>
      <c r="B79" s="84" t="s">
        <v>65</v>
      </c>
      <c r="C79" s="40"/>
      <c r="D79" s="2"/>
      <c r="F79" s="1"/>
    </row>
    <row r="80" spans="1:6" ht="14.25" customHeight="1">
      <c r="A80" s="38" t="s">
        <v>66</v>
      </c>
      <c r="B80" s="101" t="s">
        <v>67</v>
      </c>
      <c r="C80" s="102" t="s">
        <v>14</v>
      </c>
      <c r="D80" s="2"/>
      <c r="F80" s="1"/>
    </row>
    <row r="81" spans="1:6" ht="14.25" customHeight="1">
      <c r="A81" s="41" t="s">
        <v>15</v>
      </c>
      <c r="B81" s="103" t="s">
        <v>68</v>
      </c>
      <c r="C81" s="104">
        <v>0</v>
      </c>
      <c r="D81" s="2"/>
      <c r="F81" s="1"/>
    </row>
    <row r="82" spans="1:6" ht="14.25" customHeight="1">
      <c r="A82" s="41" t="s">
        <v>17</v>
      </c>
      <c r="B82" s="103" t="s">
        <v>110</v>
      </c>
      <c r="C82" s="104">
        <f>(((C29+C66+C76+C85+C106)-(C54-C55-C103-C104))/30*2.96)/12</f>
        <v>27.678165977269</v>
      </c>
      <c r="D82" s="2"/>
      <c r="F82" s="1"/>
    </row>
    <row r="83" spans="1:6" ht="14.25" customHeight="1">
      <c r="A83" s="41" t="s">
        <v>19</v>
      </c>
      <c r="B83" s="103" t="s">
        <v>111</v>
      </c>
      <c r="C83" s="104">
        <f>(((C29+C66+C76+C85+C106)-(C54-C55-C103-C104))/30*5*1.5%)/12</f>
        <v>0.7013048811808024</v>
      </c>
      <c r="D83" s="2"/>
      <c r="F83" s="1"/>
    </row>
    <row r="84" spans="1:6" ht="14.25" customHeight="1">
      <c r="A84" s="41" t="s">
        <v>21</v>
      </c>
      <c r="B84" s="103" t="s">
        <v>112</v>
      </c>
      <c r="C84" s="104">
        <f>(((C29+C66+C76+C85+C106)-(C54-C55-C103-C104))/30*15*0.78%)/12</f>
        <v>1.0940356146420518</v>
      </c>
      <c r="D84" s="2"/>
      <c r="F84" s="1"/>
    </row>
    <row r="85" spans="1:6" ht="14.25" customHeight="1">
      <c r="A85" s="41" t="s">
        <v>23</v>
      </c>
      <c r="B85" s="103" t="s">
        <v>114</v>
      </c>
      <c r="C85" s="104">
        <f>(((C35*3.95/12)+(C56*3.95*1.02%))/12+((C29+C34)*39.8%*3.95)*1.02%/12)</f>
        <v>5.263032569518173</v>
      </c>
      <c r="D85" s="35"/>
      <c r="F85" s="1"/>
    </row>
    <row r="86" spans="1:6" ht="14.25" customHeight="1">
      <c r="A86" s="41" t="s">
        <v>24</v>
      </c>
      <c r="B86" s="105" t="s">
        <v>69</v>
      </c>
      <c r="C86" s="104">
        <v>0</v>
      </c>
      <c r="D86" s="2"/>
      <c r="F86" s="1"/>
    </row>
    <row r="87" spans="1:6" ht="14.25" customHeight="1" thickBot="1">
      <c r="A87" s="48"/>
      <c r="B87" s="106" t="s">
        <v>48</v>
      </c>
      <c r="C87" s="56">
        <f>SUM(C81:C86)</f>
        <v>34.736539042610026</v>
      </c>
      <c r="D87" s="2"/>
      <c r="F87" s="1"/>
    </row>
    <row r="88" spans="1:6" ht="14.25" customHeight="1" thickBot="1">
      <c r="A88" s="74"/>
      <c r="B88" s="74"/>
      <c r="C88" s="74"/>
      <c r="E88" s="2"/>
      <c r="F88" s="1"/>
    </row>
    <row r="89" spans="1:6" ht="14.25" customHeight="1">
      <c r="A89" s="107"/>
      <c r="B89" s="219" t="s">
        <v>70</v>
      </c>
      <c r="C89" s="219"/>
      <c r="D89" s="2"/>
      <c r="F89" s="1"/>
    </row>
    <row r="90" spans="1:6" ht="14.25" customHeight="1">
      <c r="A90" s="38" t="s">
        <v>71</v>
      </c>
      <c r="B90" s="101" t="s">
        <v>72</v>
      </c>
      <c r="C90" s="102" t="s">
        <v>14</v>
      </c>
      <c r="D90" s="2"/>
      <c r="F90" s="1"/>
    </row>
    <row r="91" spans="1:6" ht="14.25" customHeight="1">
      <c r="A91" s="41" t="s">
        <v>15</v>
      </c>
      <c r="B91" s="108" t="s">
        <v>73</v>
      </c>
      <c r="C91" s="130">
        <v>0</v>
      </c>
      <c r="D91" s="2"/>
      <c r="F91" s="1"/>
    </row>
    <row r="92" spans="1:6" ht="14.25" customHeight="1" thickBot="1">
      <c r="A92" s="53"/>
      <c r="B92" s="106" t="s">
        <v>48</v>
      </c>
      <c r="C92" s="109">
        <v>0</v>
      </c>
      <c r="D92" s="16"/>
      <c r="F92" s="1"/>
    </row>
    <row r="93" spans="1:6" ht="14.25" customHeight="1" thickBot="1">
      <c r="A93" s="74"/>
      <c r="B93" s="74"/>
      <c r="C93" s="74"/>
      <c r="E93" s="2"/>
      <c r="F93" s="1"/>
    </row>
    <row r="94" spans="1:6" ht="14.25" customHeight="1">
      <c r="A94" s="76"/>
      <c r="B94" s="82" t="s">
        <v>74</v>
      </c>
      <c r="C94" s="83"/>
      <c r="D94" s="2"/>
      <c r="F94" s="1"/>
    </row>
    <row r="95" spans="1:6" ht="14.25" customHeight="1">
      <c r="A95" s="38">
        <v>4</v>
      </c>
      <c r="B95" s="84" t="s">
        <v>75</v>
      </c>
      <c r="C95" s="85" t="s">
        <v>30</v>
      </c>
      <c r="D95" s="2"/>
      <c r="F95" s="1"/>
    </row>
    <row r="96" spans="1:4" s="18" customFormat="1" ht="15" customHeight="1">
      <c r="A96" s="41" t="s">
        <v>66</v>
      </c>
      <c r="B96" s="42" t="s">
        <v>67</v>
      </c>
      <c r="C96" s="43">
        <f>C87</f>
        <v>34.736539042610026</v>
      </c>
      <c r="D96" s="17"/>
    </row>
    <row r="97" spans="1:6" ht="15" customHeight="1">
      <c r="A97" s="41" t="s">
        <v>71</v>
      </c>
      <c r="B97" s="42" t="s">
        <v>72</v>
      </c>
      <c r="C97" s="43">
        <v>0</v>
      </c>
      <c r="D97" s="2"/>
      <c r="F97" s="1"/>
    </row>
    <row r="98" spans="1:6" ht="15" customHeight="1" thickBot="1">
      <c r="A98" s="48"/>
      <c r="B98" s="86" t="s">
        <v>33</v>
      </c>
      <c r="C98" s="50">
        <f>SUM(C96:C97)</f>
        <v>34.736539042610026</v>
      </c>
      <c r="D98" s="2"/>
      <c r="F98" s="1"/>
    </row>
    <row r="99" ht="15" customHeight="1" thickBot="1">
      <c r="F99" s="1"/>
    </row>
    <row r="100" spans="1:6" ht="15" customHeight="1">
      <c r="A100" s="19"/>
      <c r="B100" s="88" t="s">
        <v>76</v>
      </c>
      <c r="C100" s="13"/>
      <c r="F100" s="1"/>
    </row>
    <row r="101" spans="1:6" ht="15" customHeight="1">
      <c r="A101" s="110">
        <v>5</v>
      </c>
      <c r="B101" s="111" t="s">
        <v>77</v>
      </c>
      <c r="C101" s="40" t="s">
        <v>14</v>
      </c>
      <c r="F101" s="1"/>
    </row>
    <row r="102" spans="1:6" ht="15" customHeight="1">
      <c r="A102" s="112" t="s">
        <v>15</v>
      </c>
      <c r="B102" s="113" t="s">
        <v>78</v>
      </c>
      <c r="C102" s="153">
        <f>1.45%*(C98+C76+C66+C29)</f>
        <v>37.84221507404368</v>
      </c>
      <c r="F102" s="1"/>
    </row>
    <row r="103" spans="1:6" ht="48">
      <c r="A103" s="112" t="s">
        <v>17</v>
      </c>
      <c r="B103" s="147" t="s">
        <v>125</v>
      </c>
      <c r="C103" s="152">
        <v>284.55</v>
      </c>
      <c r="D103" s="148">
        <f>12%*(C122+C123+C124+C102)</f>
        <v>313.5496334606852</v>
      </c>
      <c r="E103" s="148">
        <f>9.25%*D103</f>
        <v>29.00334109511338</v>
      </c>
      <c r="F103" s="148">
        <f>D103-E103</f>
        <v>284.5462923655718</v>
      </c>
    </row>
    <row r="104" spans="1:6" ht="15" customHeight="1">
      <c r="A104" s="112" t="s">
        <v>19</v>
      </c>
      <c r="B104" s="113" t="s">
        <v>79</v>
      </c>
      <c r="C104" s="143">
        <v>0</v>
      </c>
      <c r="D104" s="148"/>
      <c r="F104" s="148"/>
    </row>
    <row r="105" spans="1:6" ht="15" customHeight="1">
      <c r="A105" s="144" t="s">
        <v>21</v>
      </c>
      <c r="B105" s="145" t="s">
        <v>124</v>
      </c>
      <c r="C105" s="146">
        <v>0</v>
      </c>
      <c r="F105" s="148"/>
    </row>
    <row r="106" spans="1:6" ht="15" customHeight="1" thickBot="1">
      <c r="A106" s="114"/>
      <c r="B106" s="115" t="s">
        <v>80</v>
      </c>
      <c r="C106" s="116">
        <f>37.84+284.55</f>
        <v>322.39</v>
      </c>
      <c r="D106" s="154">
        <f>C102+C103</f>
        <v>322.3922150740437</v>
      </c>
      <c r="F106" s="1"/>
    </row>
    <row r="107" spans="1:6" ht="15" customHeight="1" thickBot="1">
      <c r="A107" s="20"/>
      <c r="B107" s="21"/>
      <c r="C107" s="22"/>
      <c r="D107" s="22"/>
      <c r="F107" s="1"/>
    </row>
    <row r="108" spans="1:6" ht="15" customHeight="1">
      <c r="A108" s="23"/>
      <c r="B108" s="215" t="s">
        <v>81</v>
      </c>
      <c r="C108" s="215"/>
      <c r="D108" s="215"/>
      <c r="F108" s="1"/>
    </row>
    <row r="109" spans="1:6" ht="15" customHeight="1">
      <c r="A109" s="110">
        <v>6</v>
      </c>
      <c r="B109" s="101" t="s">
        <v>83</v>
      </c>
      <c r="C109" s="117" t="s">
        <v>37</v>
      </c>
      <c r="D109" s="102" t="s">
        <v>14</v>
      </c>
      <c r="F109" s="1"/>
    </row>
    <row r="110" spans="1:6" ht="15" customHeight="1">
      <c r="A110" s="112" t="s">
        <v>15</v>
      </c>
      <c r="B110" s="118" t="s">
        <v>84</v>
      </c>
      <c r="C110" s="119">
        <v>6.88</v>
      </c>
      <c r="D110" s="55">
        <f>(C127)*C110/100</f>
        <v>201.73521800649686</v>
      </c>
      <c r="F110" s="1"/>
    </row>
    <row r="111" spans="1:6" ht="15" customHeight="1">
      <c r="A111" s="112" t="s">
        <v>17</v>
      </c>
      <c r="B111" s="118" t="s">
        <v>85</v>
      </c>
      <c r="C111" s="119">
        <v>4.49</v>
      </c>
      <c r="D111" s="55">
        <f>(C127+D110)*C111/100</f>
        <v>140.71359862122006</v>
      </c>
      <c r="F111" s="1"/>
    </row>
    <row r="112" spans="1:6" ht="15" customHeight="1">
      <c r="A112" s="112" t="s">
        <v>19</v>
      </c>
      <c r="B112" s="118" t="s">
        <v>86</v>
      </c>
      <c r="C112" s="119"/>
      <c r="D112" s="55"/>
      <c r="F112" s="1"/>
    </row>
    <row r="113" spans="1:6" ht="15" customHeight="1">
      <c r="A113" s="112"/>
      <c r="B113" s="118" t="s">
        <v>87</v>
      </c>
      <c r="C113" s="119">
        <f>3+0.65</f>
        <v>3.65</v>
      </c>
      <c r="D113" s="55">
        <f>((C127+D110+D111)/(1-(C113+C115)/100))*C113/100</f>
        <v>130.84248109037338</v>
      </c>
      <c r="F113" s="1"/>
    </row>
    <row r="114" spans="1:6" ht="15" customHeight="1">
      <c r="A114" s="112"/>
      <c r="B114" s="118" t="s">
        <v>88</v>
      </c>
      <c r="C114" s="119"/>
      <c r="D114" s="55"/>
      <c r="F114" s="1"/>
    </row>
    <row r="115" spans="1:6" ht="15" customHeight="1">
      <c r="A115" s="112"/>
      <c r="B115" s="118" t="s">
        <v>89</v>
      </c>
      <c r="C115" s="120">
        <v>5</v>
      </c>
      <c r="D115" s="55">
        <f>((C127+D110+D111)/(1-(C113+C115)/100))*C115/100</f>
        <v>179.2362754662649</v>
      </c>
      <c r="F115" s="1"/>
    </row>
    <row r="116" spans="1:6" ht="15" customHeight="1">
      <c r="A116" s="112"/>
      <c r="B116" s="118" t="s">
        <v>90</v>
      </c>
      <c r="C116" s="119"/>
      <c r="D116" s="55"/>
      <c r="F116" s="1"/>
    </row>
    <row r="117" spans="1:6" ht="15" customHeight="1" thickBot="1">
      <c r="A117" s="121"/>
      <c r="B117" s="106" t="s">
        <v>48</v>
      </c>
      <c r="C117" s="122">
        <f>SUM(C110:C116)</f>
        <v>20.020000000000003</v>
      </c>
      <c r="D117" s="56">
        <f>SUM(D110:D116)</f>
        <v>652.5275731843552</v>
      </c>
      <c r="F117" s="1"/>
    </row>
    <row r="118" spans="1:6" ht="15" customHeight="1">
      <c r="A118" s="20"/>
      <c r="B118" s="21"/>
      <c r="C118" s="22"/>
      <c r="D118" s="22"/>
      <c r="F118" s="1"/>
    </row>
    <row r="119" spans="1:4" s="18" customFormat="1" ht="15" customHeight="1">
      <c r="A119" s="220" t="s">
        <v>91</v>
      </c>
      <c r="B119" s="220"/>
      <c r="C119" s="220"/>
      <c r="D119" s="24"/>
    </row>
    <row r="120" spans="1:4" s="18" customFormat="1" ht="15" customHeight="1" thickBot="1">
      <c r="A120" s="1"/>
      <c r="B120" s="24"/>
      <c r="C120" s="1"/>
      <c r="D120" s="1"/>
    </row>
    <row r="121" spans="1:3" s="18" customFormat="1" ht="24">
      <c r="A121" s="76"/>
      <c r="B121" s="123" t="s">
        <v>92</v>
      </c>
      <c r="C121" s="124" t="s">
        <v>14</v>
      </c>
    </row>
    <row r="122" spans="1:3" s="18" customFormat="1" ht="15" customHeight="1">
      <c r="A122" s="51" t="s">
        <v>15</v>
      </c>
      <c r="B122" s="118" t="s">
        <v>93</v>
      </c>
      <c r="C122" s="55">
        <f>C29</f>
        <v>1099.9</v>
      </c>
    </row>
    <row r="123" spans="1:3" s="18" customFormat="1" ht="15" customHeight="1">
      <c r="A123" s="51" t="s">
        <v>17</v>
      </c>
      <c r="B123" s="118" t="s">
        <v>94</v>
      </c>
      <c r="C123" s="55">
        <f>C66</f>
        <v>1402.04445</v>
      </c>
    </row>
    <row r="124" spans="1:3" s="18" customFormat="1" ht="15" customHeight="1">
      <c r="A124" s="51" t="s">
        <v>19</v>
      </c>
      <c r="B124" s="118" t="s">
        <v>95</v>
      </c>
      <c r="C124" s="55">
        <f>C76</f>
        <v>73.12694709833335</v>
      </c>
    </row>
    <row r="125" spans="1:3" s="18" customFormat="1" ht="15" customHeight="1">
      <c r="A125" s="51" t="s">
        <v>21</v>
      </c>
      <c r="B125" s="118" t="s">
        <v>64</v>
      </c>
      <c r="C125" s="55">
        <f>C98</f>
        <v>34.736539042610026</v>
      </c>
    </row>
    <row r="126" spans="1:3" s="18" customFormat="1" ht="15" customHeight="1">
      <c r="A126" s="51" t="s">
        <v>23</v>
      </c>
      <c r="B126" s="118" t="s">
        <v>96</v>
      </c>
      <c r="C126" s="55">
        <f>C106</f>
        <v>322.39</v>
      </c>
    </row>
    <row r="127" spans="1:3" s="18" customFormat="1" ht="15" customHeight="1">
      <c r="A127" s="51"/>
      <c r="B127" s="117" t="s">
        <v>97</v>
      </c>
      <c r="C127" s="125">
        <f>SUM(C122:C126)</f>
        <v>2932.197936140943</v>
      </c>
    </row>
    <row r="128" spans="1:3" s="18" customFormat="1" ht="15" customHeight="1">
      <c r="A128" s="51" t="s">
        <v>24</v>
      </c>
      <c r="B128" s="118" t="s">
        <v>98</v>
      </c>
      <c r="C128" s="55">
        <f>D117</f>
        <v>652.5275731843552</v>
      </c>
    </row>
    <row r="129" spans="1:3" s="18" customFormat="1" ht="12.75">
      <c r="A129" s="51"/>
      <c r="B129" s="101" t="s">
        <v>99</v>
      </c>
      <c r="C129" s="125">
        <f>SUM(C127:C128)</f>
        <v>3584.7255093252984</v>
      </c>
    </row>
    <row r="130" spans="1:3" s="18" customFormat="1" ht="15" customHeight="1" thickBot="1">
      <c r="A130" s="48"/>
      <c r="B130" s="126" t="s">
        <v>100</v>
      </c>
      <c r="C130" s="127">
        <f>C129/C29</f>
        <v>3.259137657355485</v>
      </c>
    </row>
    <row r="131" spans="1:5" s="18" customFormat="1" ht="15" customHeight="1">
      <c r="A131" s="1"/>
      <c r="B131" s="24"/>
      <c r="C131" s="1"/>
      <c r="D131" s="1"/>
      <c r="E131" s="1"/>
    </row>
    <row r="132" ht="13.5" thickBot="1"/>
    <row r="133" spans="1:4" ht="12.75">
      <c r="A133" s="23"/>
      <c r="B133" s="215" t="s">
        <v>82</v>
      </c>
      <c r="C133" s="215"/>
      <c r="D133" s="215"/>
    </row>
    <row r="134" spans="1:4" ht="12.75">
      <c r="A134" s="110">
        <v>6</v>
      </c>
      <c r="B134" s="101" t="s">
        <v>83</v>
      </c>
      <c r="C134" s="117" t="s">
        <v>37</v>
      </c>
      <c r="D134" s="102" t="s">
        <v>14</v>
      </c>
    </row>
    <row r="135" spans="1:4" ht="12.75">
      <c r="A135" s="112" t="s">
        <v>15</v>
      </c>
      <c r="B135" s="118" t="s">
        <v>84</v>
      </c>
      <c r="C135" s="119">
        <v>6.488</v>
      </c>
      <c r="D135" s="55">
        <f>(C152)*C135/100</f>
        <v>190.24100209682442</v>
      </c>
    </row>
    <row r="136" spans="1:4" ht="12.75">
      <c r="A136" s="112" t="s">
        <v>17</v>
      </c>
      <c r="B136" s="118" t="s">
        <v>85</v>
      </c>
      <c r="C136" s="119">
        <v>4.49</v>
      </c>
      <c r="D136" s="55">
        <f>(C152+D135)*C136/100</f>
        <v>140.19750832687578</v>
      </c>
    </row>
    <row r="137" spans="1:4" ht="12.75">
      <c r="A137" s="112" t="s">
        <v>19</v>
      </c>
      <c r="B137" s="118" t="s">
        <v>86</v>
      </c>
      <c r="C137" s="119"/>
      <c r="D137" s="55"/>
    </row>
    <row r="138" spans="1:4" ht="12.75">
      <c r="A138" s="112"/>
      <c r="B138" s="118" t="s">
        <v>115</v>
      </c>
      <c r="C138" s="69">
        <f>1.65+7.6</f>
        <v>9.25</v>
      </c>
      <c r="D138" s="55">
        <f>((C152+D135+D136)/(1-(C138+C140)/100))*C138/100</f>
        <v>351.94620560609854</v>
      </c>
    </row>
    <row r="139" spans="1:4" ht="12.75">
      <c r="A139" s="112"/>
      <c r="B139" s="118" t="s">
        <v>88</v>
      </c>
      <c r="C139" s="119"/>
      <c r="D139" s="55"/>
    </row>
    <row r="140" spans="1:4" ht="12.75">
      <c r="A140" s="112"/>
      <c r="B140" s="118" t="s">
        <v>89</v>
      </c>
      <c r="C140" s="120">
        <v>5</v>
      </c>
      <c r="D140" s="55">
        <f>((C152+D135+D136)/(1-(C138+C140)/100))*C140/100</f>
        <v>190.24119221951275</v>
      </c>
    </row>
    <row r="141" spans="1:4" ht="12.75">
      <c r="A141" s="112"/>
      <c r="B141" s="118" t="s">
        <v>90</v>
      </c>
      <c r="C141" s="119"/>
      <c r="D141" s="55"/>
    </row>
    <row r="142" spans="1:4" ht="13.5" thickBot="1">
      <c r="A142" s="121"/>
      <c r="B142" s="106" t="s">
        <v>48</v>
      </c>
      <c r="C142" s="122">
        <f>SUM(C135:C141)</f>
        <v>25.228</v>
      </c>
      <c r="D142" s="56">
        <f>SUM(D135:D141)</f>
        <v>872.6259082493115</v>
      </c>
    </row>
    <row r="143" spans="1:4" ht="12.75">
      <c r="A143" s="74"/>
      <c r="B143" s="74"/>
      <c r="C143" s="74"/>
      <c r="D143" s="74"/>
    </row>
    <row r="144" spans="1:4" ht="12.75">
      <c r="A144" s="216" t="s">
        <v>91</v>
      </c>
      <c r="B144" s="216"/>
      <c r="C144" s="216"/>
      <c r="D144" s="128"/>
    </row>
    <row r="145" spans="1:4" ht="13.5" thickBot="1">
      <c r="A145" s="74"/>
      <c r="B145" s="129"/>
      <c r="C145" s="74"/>
      <c r="D145" s="128"/>
    </row>
    <row r="146" spans="1:4" ht="24">
      <c r="A146" s="76"/>
      <c r="B146" s="123" t="s">
        <v>92</v>
      </c>
      <c r="C146" s="124" t="s">
        <v>14</v>
      </c>
      <c r="D146" s="128"/>
    </row>
    <row r="147" spans="1:4" ht="12.75">
      <c r="A147" s="51" t="s">
        <v>15</v>
      </c>
      <c r="B147" s="118" t="s">
        <v>93</v>
      </c>
      <c r="C147" s="55">
        <f>C122</f>
        <v>1099.9</v>
      </c>
      <c r="D147" s="128"/>
    </row>
    <row r="148" spans="1:4" ht="12.75">
      <c r="A148" s="51" t="s">
        <v>17</v>
      </c>
      <c r="B148" s="118" t="s">
        <v>94</v>
      </c>
      <c r="C148" s="55">
        <f>C123</f>
        <v>1402.04445</v>
      </c>
      <c r="D148" s="128"/>
    </row>
    <row r="149" spans="1:4" ht="12.75">
      <c r="A149" s="51" t="s">
        <v>19</v>
      </c>
      <c r="B149" s="118" t="s">
        <v>95</v>
      </c>
      <c r="C149" s="55">
        <f>C124</f>
        <v>73.12694709833335</v>
      </c>
      <c r="D149" s="128"/>
    </row>
    <row r="150" spans="1:4" ht="12.75">
      <c r="A150" s="51" t="s">
        <v>21</v>
      </c>
      <c r="B150" s="118" t="s">
        <v>64</v>
      </c>
      <c r="C150" s="55">
        <f>C125</f>
        <v>34.736539042610026</v>
      </c>
      <c r="D150" s="128"/>
    </row>
    <row r="151" spans="1:4" ht="12.75">
      <c r="A151" s="51" t="s">
        <v>23</v>
      </c>
      <c r="B151" s="118" t="s">
        <v>96</v>
      </c>
      <c r="C151" s="55">
        <f>C126</f>
        <v>322.39</v>
      </c>
      <c r="D151" s="128"/>
    </row>
    <row r="152" spans="1:4" ht="12.75">
      <c r="A152" s="51"/>
      <c r="B152" s="117" t="s">
        <v>97</v>
      </c>
      <c r="C152" s="125">
        <f>SUM(C147:C151)</f>
        <v>2932.197936140943</v>
      </c>
      <c r="D152" s="128"/>
    </row>
    <row r="153" spans="1:4" ht="12.75">
      <c r="A153" s="51" t="s">
        <v>24</v>
      </c>
      <c r="B153" s="118" t="s">
        <v>98</v>
      </c>
      <c r="C153" s="55">
        <f>D142</f>
        <v>872.6259082493115</v>
      </c>
      <c r="D153" s="128"/>
    </row>
    <row r="154" spans="1:4" ht="12.75">
      <c r="A154" s="51"/>
      <c r="B154" s="101" t="s">
        <v>99</v>
      </c>
      <c r="C154" s="125">
        <f>SUM(C152:C153)</f>
        <v>3804.8238443902546</v>
      </c>
      <c r="D154" s="128"/>
    </row>
    <row r="155" spans="1:4" ht="13.5" thickBot="1">
      <c r="A155" s="48"/>
      <c r="B155" s="126" t="s">
        <v>100</v>
      </c>
      <c r="C155" s="127">
        <f>C154/C29</f>
        <v>3.45924524446791</v>
      </c>
      <c r="D155" s="128"/>
    </row>
  </sheetData>
  <sheetProtection selectLockedCells="1" selectUnlockedCells="1"/>
  <mergeCells count="26">
    <mergeCell ref="B1:E1"/>
    <mergeCell ref="B2:E2"/>
    <mergeCell ref="B3:E3"/>
    <mergeCell ref="B4:E4"/>
    <mergeCell ref="B5:E5"/>
    <mergeCell ref="B6:E6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133:D133"/>
    <mergeCell ref="A144:C144"/>
    <mergeCell ref="B31:C31"/>
    <mergeCell ref="B32:C32"/>
    <mergeCell ref="A39:D39"/>
    <mergeCell ref="B89:C89"/>
    <mergeCell ref="B108:D108"/>
    <mergeCell ref="A119:C119"/>
  </mergeCells>
  <printOptions horizontalCentered="1" verticalCentered="1"/>
  <pageMargins left="0" right="0" top="0.9491666666666667" bottom="0.5905511811023623" header="0.5511811023622047" footer="0.35433070866141736"/>
  <pageSetup firstPageNumber="1" useFirstPageNumber="1" horizontalDpi="600" verticalDpi="600" orientation="portrait" paperSize="9" scale="85" r:id="rId3"/>
  <headerFooter alignWithMargins="0">
    <oddHeader xml:space="preserve">&amp;C&amp;"-,Regular"&amp;9 23069.157535/2020-14
PREGÃO ELETRÔNICO XXX/2020    </oddHeader>
    <oddFooter xml:space="preserve">&amp;L&amp;"-,Regular"&amp;9ANEXO IV-B1 </oddFooter>
  </headerFooter>
  <rowBreaks count="2" manualBreakCount="2">
    <brk id="51" max="5" man="1"/>
    <brk id="107" max="5" man="1"/>
  </rowBreaks>
  <colBreaks count="1" manualBreakCount="1">
    <brk id="7" max="1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4" sqref="A4:F4"/>
    </sheetView>
  </sheetViews>
  <sheetFormatPr defaultColWidth="9.140625" defaultRowHeight="12.75"/>
  <cols>
    <col min="1" max="1" width="6.28125" style="0" bestFit="1" customWidth="1"/>
    <col min="2" max="2" width="20.7109375" style="0" customWidth="1"/>
    <col min="3" max="3" width="19.140625" style="0" customWidth="1"/>
    <col min="4" max="4" width="25.7109375" style="0" bestFit="1" customWidth="1"/>
    <col min="5" max="5" width="20.57421875" style="25" bestFit="1" customWidth="1"/>
    <col min="6" max="6" width="16.57421875" style="0" bestFit="1" customWidth="1"/>
    <col min="7" max="7" width="15.7109375" style="0" bestFit="1" customWidth="1"/>
    <col min="8" max="8" width="11.00390625" style="0" hidden="1" customWidth="1"/>
  </cols>
  <sheetData>
    <row r="1" spans="1:6" ht="12.75">
      <c r="A1" s="240" t="s">
        <v>0</v>
      </c>
      <c r="B1" s="240"/>
      <c r="C1" s="240"/>
      <c r="D1" s="240"/>
      <c r="E1" s="240"/>
      <c r="F1" s="240"/>
    </row>
    <row r="2" spans="1:6" ht="12.75">
      <c r="A2" s="241" t="s">
        <v>103</v>
      </c>
      <c r="B2" s="241"/>
      <c r="C2" s="241"/>
      <c r="D2" s="241"/>
      <c r="E2" s="241"/>
      <c r="F2" s="241"/>
    </row>
    <row r="3" spans="1:6" ht="12.75">
      <c r="A3" s="241" t="s">
        <v>104</v>
      </c>
      <c r="B3" s="241"/>
      <c r="C3" s="241"/>
      <c r="D3" s="241"/>
      <c r="E3" s="241"/>
      <c r="F3" s="241"/>
    </row>
    <row r="4" spans="1:6" ht="12.75">
      <c r="A4" s="239" t="s">
        <v>205</v>
      </c>
      <c r="B4" s="239"/>
      <c r="C4" s="239"/>
      <c r="D4" s="239"/>
      <c r="E4" s="239"/>
      <c r="F4" s="239"/>
    </row>
    <row r="5" spans="1:6" ht="31.5" customHeight="1">
      <c r="A5" s="242" t="s">
        <v>101</v>
      </c>
      <c r="B5" s="242"/>
      <c r="C5" s="242"/>
      <c r="D5" s="242"/>
      <c r="E5" s="242"/>
      <c r="F5" s="242"/>
    </row>
    <row r="6" spans="1:6" ht="38.25" customHeight="1">
      <c r="A6" s="243" t="s">
        <v>136</v>
      </c>
      <c r="B6" s="243"/>
      <c r="C6" s="243"/>
      <c r="D6" s="243"/>
      <c r="E6" s="243"/>
      <c r="F6" s="243"/>
    </row>
    <row r="7" spans="1:6" ht="12.75">
      <c r="A7" s="239" t="s">
        <v>202</v>
      </c>
      <c r="B7" s="239"/>
      <c r="C7" s="239"/>
      <c r="D7" s="239"/>
      <c r="E7" s="239"/>
      <c r="F7" s="239"/>
    </row>
    <row r="8" spans="1:6" ht="12.75">
      <c r="A8" s="230" t="s">
        <v>129</v>
      </c>
      <c r="B8" s="230"/>
      <c r="C8" s="230"/>
      <c r="D8" s="230"/>
      <c r="E8" s="230"/>
      <c r="F8" s="230"/>
    </row>
    <row r="9" spans="1:8" ht="25.5">
      <c r="A9" s="26" t="s">
        <v>105</v>
      </c>
      <c r="B9" s="26" t="s">
        <v>106</v>
      </c>
      <c r="C9" s="26" t="s">
        <v>107</v>
      </c>
      <c r="D9" s="26" t="s">
        <v>128</v>
      </c>
      <c r="E9" s="26" t="s">
        <v>109</v>
      </c>
      <c r="F9" s="26" t="s">
        <v>126</v>
      </c>
      <c r="H9" s="27"/>
    </row>
    <row r="10" spans="1:7" ht="12.75">
      <c r="A10" s="149">
        <v>1</v>
      </c>
      <c r="B10" s="28" t="s">
        <v>127</v>
      </c>
      <c r="C10" s="29">
        <v>2</v>
      </c>
      <c r="D10" s="139">
        <f>Servente!C154</f>
        <v>3804.8238443902546</v>
      </c>
      <c r="E10" s="139">
        <f>D10*C10</f>
        <v>7609.647688780509</v>
      </c>
      <c r="F10" s="140">
        <f>E10*12</f>
        <v>91315.7722653661</v>
      </c>
      <c r="G10" s="32"/>
    </row>
    <row r="11" spans="1:8" ht="12.75">
      <c r="A11" s="28"/>
      <c r="B11" s="31" t="s">
        <v>48</v>
      </c>
      <c r="C11" s="138">
        <f>SUM(C10:C10)</f>
        <v>2</v>
      </c>
      <c r="D11" s="28" t="s">
        <v>108</v>
      </c>
      <c r="E11" s="37"/>
      <c r="F11" s="141"/>
      <c r="G11" s="32"/>
      <c r="H11" s="30"/>
    </row>
    <row r="12" spans="1:8" ht="12.75">
      <c r="A12" s="28"/>
      <c r="B12" s="28"/>
      <c r="C12" s="29"/>
      <c r="D12" s="139"/>
      <c r="E12" s="139"/>
      <c r="F12" s="140"/>
      <c r="G12" s="32"/>
      <c r="H12" s="30"/>
    </row>
    <row r="13" spans="5:7" ht="12.75">
      <c r="E13" s="33"/>
      <c r="F13" s="34"/>
      <c r="G13" s="32"/>
    </row>
    <row r="19" ht="12.75">
      <c r="F19" s="32"/>
    </row>
  </sheetData>
  <sheetProtection/>
  <mergeCells count="8">
    <mergeCell ref="A8:F8"/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>
    <oddHeader>&amp;C&amp;"-,Regular"&amp;9PROCESSO 23069.157535/2020-14
PREGÃO ELETRÔNICO XXX/2020</oddHeader>
    <oddFooter>&amp;L&amp;"-,Regular"&amp;9ANEXO IV-B2- Custo total Mão de Obra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12.7109375" style="157" bestFit="1" customWidth="1"/>
    <col min="2" max="2" width="14.28125" style="157" bestFit="1" customWidth="1"/>
    <col min="3" max="3" width="16.28125" style="157" customWidth="1"/>
    <col min="4" max="4" width="12.7109375" style="157" customWidth="1"/>
    <col min="5" max="5" width="18.00390625" style="157" customWidth="1"/>
    <col min="6" max="6" width="17.00390625" style="158" bestFit="1" customWidth="1"/>
    <col min="7" max="7" width="16.7109375" style="159" bestFit="1" customWidth="1"/>
    <col min="8" max="8" width="14.00390625" style="159" bestFit="1" customWidth="1"/>
    <col min="9" max="9" width="17.421875" style="159" customWidth="1"/>
    <col min="10" max="10" width="15.7109375" style="159" customWidth="1"/>
    <col min="11" max="16384" width="9.140625" style="156" customWidth="1"/>
  </cols>
  <sheetData>
    <row r="1" spans="1:10" ht="13.5" customHeight="1">
      <c r="A1" s="259" t="s">
        <v>137</v>
      </c>
      <c r="B1" s="259"/>
      <c r="C1" s="259"/>
      <c r="D1" s="259"/>
      <c r="E1" s="259"/>
      <c r="F1" s="259"/>
      <c r="G1" s="155"/>
      <c r="H1" s="155"/>
      <c r="I1" s="155"/>
      <c r="J1" s="155"/>
    </row>
    <row r="2" spans="1:10" ht="13.5" customHeight="1">
      <c r="A2" s="259" t="s">
        <v>138</v>
      </c>
      <c r="B2" s="259"/>
      <c r="C2" s="259"/>
      <c r="D2" s="259"/>
      <c r="E2" s="259"/>
      <c r="F2" s="259"/>
      <c r="G2" s="155"/>
      <c r="H2" s="155"/>
      <c r="I2" s="155"/>
      <c r="J2" s="155"/>
    </row>
    <row r="3" spans="1:10" ht="13.5" customHeight="1">
      <c r="A3" s="259" t="s">
        <v>206</v>
      </c>
      <c r="B3" s="259"/>
      <c r="C3" s="259"/>
      <c r="D3" s="259"/>
      <c r="E3" s="259"/>
      <c r="F3" s="259"/>
      <c r="G3" s="155"/>
      <c r="H3" s="155"/>
      <c r="I3" s="155"/>
      <c r="J3" s="155"/>
    </row>
    <row r="4" ht="13.5" thickBot="1"/>
    <row r="5" spans="1:10" ht="25.5">
      <c r="A5" s="244" t="s">
        <v>105</v>
      </c>
      <c r="B5" s="260" t="s">
        <v>139</v>
      </c>
      <c r="C5" s="260" t="s">
        <v>140</v>
      </c>
      <c r="D5" s="260" t="s">
        <v>141</v>
      </c>
      <c r="E5" s="191" t="s">
        <v>142</v>
      </c>
      <c r="F5" s="192" t="s">
        <v>143</v>
      </c>
      <c r="G5"/>
      <c r="H5"/>
      <c r="J5" s="156"/>
    </row>
    <row r="6" spans="1:10" ht="15">
      <c r="A6" s="245"/>
      <c r="B6" s="261"/>
      <c r="C6" s="261"/>
      <c r="D6" s="261"/>
      <c r="E6" s="193" t="s">
        <v>144</v>
      </c>
      <c r="F6" s="194" t="s">
        <v>196</v>
      </c>
      <c r="G6"/>
      <c r="H6"/>
      <c r="J6" s="156"/>
    </row>
    <row r="7" spans="1:10" ht="25.5">
      <c r="A7" s="245"/>
      <c r="B7" s="261"/>
      <c r="C7" s="261"/>
      <c r="D7" s="261"/>
      <c r="E7" s="193" t="s">
        <v>145</v>
      </c>
      <c r="F7" s="194" t="s">
        <v>146</v>
      </c>
      <c r="G7"/>
      <c r="H7"/>
      <c r="J7" s="156"/>
    </row>
    <row r="8" spans="1:10" ht="12.75">
      <c r="A8" s="258" t="s">
        <v>147</v>
      </c>
      <c r="B8" s="246">
        <f>585+800</f>
        <v>1385</v>
      </c>
      <c r="C8" s="195" t="s">
        <v>148</v>
      </c>
      <c r="D8" s="196">
        <v>0</v>
      </c>
      <c r="E8" s="197"/>
      <c r="F8" s="198">
        <f>D8*E8/B8</f>
        <v>0</v>
      </c>
      <c r="G8" s="32"/>
      <c r="H8" s="32"/>
      <c r="J8" s="156"/>
    </row>
    <row r="9" spans="1:10" ht="12.75">
      <c r="A9" s="258"/>
      <c r="B9" s="247"/>
      <c r="C9" s="195" t="s">
        <v>149</v>
      </c>
      <c r="D9" s="196">
        <v>0</v>
      </c>
      <c r="E9" s="197"/>
      <c r="F9" s="198">
        <f>D9*E9/B8</f>
        <v>0</v>
      </c>
      <c r="G9" s="32"/>
      <c r="H9" s="32"/>
      <c r="J9" s="156"/>
    </row>
    <row r="10" spans="1:10" ht="12.75">
      <c r="A10" s="258"/>
      <c r="B10" s="248"/>
      <c r="C10" s="195" t="s">
        <v>127</v>
      </c>
      <c r="D10" s="196">
        <v>2</v>
      </c>
      <c r="E10" s="197">
        <f>'Custo Total MDO'!D10</f>
        <v>3804.8238443902546</v>
      </c>
      <c r="F10" s="198">
        <f>D10*E10/B8</f>
        <v>5.494330461213364</v>
      </c>
      <c r="G10" s="32"/>
      <c r="H10"/>
      <c r="J10" s="156"/>
    </row>
    <row r="11" spans="1:10" ht="13.5" thickBot="1">
      <c r="A11" s="199" t="s">
        <v>48</v>
      </c>
      <c r="B11" s="200">
        <f>B8</f>
        <v>1385</v>
      </c>
      <c r="C11" s="160"/>
      <c r="D11" s="201">
        <f>SUM(D8:D10)</f>
        <v>2</v>
      </c>
      <c r="E11" s="160"/>
      <c r="F11" s="202">
        <f>SUM(F8:F10)</f>
        <v>5.494330461213364</v>
      </c>
      <c r="G11" s="156"/>
      <c r="H11" s="156"/>
      <c r="I11" s="156"/>
      <c r="J11" s="156"/>
    </row>
    <row r="12" spans="1:10" ht="12.75">
      <c r="A12" s="203"/>
      <c r="B12" s="203"/>
      <c r="C12" s="161"/>
      <c r="D12" s="204"/>
      <c r="E12" s="161"/>
      <c r="F12" s="203"/>
      <c r="G12" s="156"/>
      <c r="H12" s="156"/>
      <c r="I12" s="156"/>
      <c r="J12" s="156"/>
    </row>
    <row r="13" spans="1:10" ht="13.5" thickBot="1">
      <c r="A13" s="203"/>
      <c r="B13" s="203"/>
      <c r="C13" s="161"/>
      <c r="D13" s="204"/>
      <c r="E13" s="161"/>
      <c r="F13" s="203"/>
      <c r="G13" s="156"/>
      <c r="H13" s="156"/>
      <c r="I13" s="156"/>
      <c r="J13" s="156"/>
    </row>
    <row r="14" spans="1:9" ht="38.25">
      <c r="A14" s="249" t="s">
        <v>150</v>
      </c>
      <c r="B14" s="162" t="s">
        <v>151</v>
      </c>
      <c r="C14" s="252" t="s">
        <v>152</v>
      </c>
      <c r="D14" s="252"/>
      <c r="E14" s="253"/>
      <c r="F14" s="161"/>
      <c r="G14" s="163"/>
      <c r="H14" s="156"/>
      <c r="I14"/>
    </row>
    <row r="15" spans="1:9" ht="38.25">
      <c r="A15" s="250"/>
      <c r="B15" s="164" t="s">
        <v>153</v>
      </c>
      <c r="C15" s="254" t="s">
        <v>154</v>
      </c>
      <c r="D15" s="254"/>
      <c r="E15" s="255"/>
      <c r="F15" s="161"/>
      <c r="G15" s="163"/>
      <c r="H15" s="156"/>
      <c r="I15"/>
    </row>
    <row r="16" spans="1:9" ht="51">
      <c r="A16" s="250"/>
      <c r="B16" s="164" t="s">
        <v>155</v>
      </c>
      <c r="C16" s="254" t="s">
        <v>156</v>
      </c>
      <c r="D16" s="254"/>
      <c r="E16" s="255"/>
      <c r="F16" s="161"/>
      <c r="G16" s="163"/>
      <c r="H16" s="156"/>
      <c r="I16"/>
    </row>
    <row r="17" spans="1:9" ht="51">
      <c r="A17" s="250"/>
      <c r="B17" s="164" t="s">
        <v>157</v>
      </c>
      <c r="C17" s="254" t="s">
        <v>158</v>
      </c>
      <c r="D17" s="254"/>
      <c r="E17" s="255"/>
      <c r="F17" s="161"/>
      <c r="G17" s="163"/>
      <c r="H17" s="156"/>
      <c r="I17"/>
    </row>
    <row r="18" spans="1:9" ht="26.25" thickBot="1">
      <c r="A18" s="251"/>
      <c r="B18" s="165" t="s">
        <v>159</v>
      </c>
      <c r="C18" s="256" t="s">
        <v>160</v>
      </c>
      <c r="D18" s="256"/>
      <c r="E18" s="257"/>
      <c r="F18" s="161"/>
      <c r="G18" s="163"/>
      <c r="H18" s="156"/>
      <c r="I18"/>
    </row>
    <row r="19" spans="1:9" ht="12.75">
      <c r="A19" s="166"/>
      <c r="B19" s="166"/>
      <c r="C19" s="161"/>
      <c r="D19" s="161"/>
      <c r="E19" s="161"/>
      <c r="F19" s="161"/>
      <c r="G19"/>
      <c r="H19" s="156"/>
      <c r="I19"/>
    </row>
    <row r="20" spans="1:9" ht="13.5" thickBot="1">
      <c r="A20" s="156"/>
      <c r="B20" s="156"/>
      <c r="C20" s="205"/>
      <c r="D20" s="205"/>
      <c r="E20" s="205"/>
      <c r="F20" s="205"/>
      <c r="G20"/>
      <c r="H20"/>
      <c r="I20"/>
    </row>
    <row r="21" spans="1:10" ht="27.75">
      <c r="A21" s="244" t="s">
        <v>161</v>
      </c>
      <c r="B21" s="191" t="s">
        <v>197</v>
      </c>
      <c r="C21" s="191" t="s">
        <v>198</v>
      </c>
      <c r="D21" s="191" t="s">
        <v>162</v>
      </c>
      <c r="E21" s="192" t="s">
        <v>163</v>
      </c>
      <c r="F21" s="206"/>
      <c r="G21"/>
      <c r="I21" s="167"/>
      <c r="J21" s="156"/>
    </row>
    <row r="22" spans="1:10" ht="15.75">
      <c r="A22" s="245"/>
      <c r="B22" s="193" t="s">
        <v>196</v>
      </c>
      <c r="C22" s="193" t="s">
        <v>199</v>
      </c>
      <c r="D22" s="193" t="s">
        <v>144</v>
      </c>
      <c r="E22" s="194" t="s">
        <v>200</v>
      </c>
      <c r="F22" s="205"/>
      <c r="G22"/>
      <c r="I22" s="168"/>
      <c r="J22" s="156"/>
    </row>
    <row r="23" spans="1:10" ht="12.75">
      <c r="A23" s="245"/>
      <c r="B23" s="193" t="s">
        <v>164</v>
      </c>
      <c r="C23" s="193" t="s">
        <v>165</v>
      </c>
      <c r="D23" s="193" t="s">
        <v>166</v>
      </c>
      <c r="E23" s="194" t="s">
        <v>167</v>
      </c>
      <c r="F23" s="205"/>
      <c r="G23"/>
      <c r="I23" s="167"/>
      <c r="J23" s="156"/>
    </row>
    <row r="24" spans="1:10" ht="12.75">
      <c r="A24" s="207" t="s">
        <v>147</v>
      </c>
      <c r="B24" s="208">
        <f>F11</f>
        <v>5.494330461213364</v>
      </c>
      <c r="C24" s="209">
        <f>B8</f>
        <v>1385</v>
      </c>
      <c r="D24" s="209">
        <f>B24*C24</f>
        <v>7609.647688780509</v>
      </c>
      <c r="E24" s="210">
        <f>D24*12</f>
        <v>91315.7722653661</v>
      </c>
      <c r="F24" s="205"/>
      <c r="G24"/>
      <c r="I24" s="156"/>
      <c r="J24" s="156"/>
    </row>
    <row r="25" spans="1:10" ht="13.5" thickBot="1">
      <c r="A25" s="211" t="s">
        <v>48</v>
      </c>
      <c r="B25" s="212"/>
      <c r="C25" s="212"/>
      <c r="D25" s="213">
        <f>SUM(D24:D24)</f>
        <v>7609.647688780509</v>
      </c>
      <c r="E25" s="214">
        <f>SUM(E24:E24)</f>
        <v>91315.7722653661</v>
      </c>
      <c r="F25" s="205"/>
      <c r="G25"/>
      <c r="I25" s="156"/>
      <c r="J25" s="156"/>
    </row>
  </sheetData>
  <sheetProtection/>
  <mergeCells count="16">
    <mergeCell ref="A1:F1"/>
    <mergeCell ref="A2:F2"/>
    <mergeCell ref="A3:F3"/>
    <mergeCell ref="A5:A7"/>
    <mergeCell ref="B5:B7"/>
    <mergeCell ref="C5:C7"/>
    <mergeCell ref="D5:D7"/>
    <mergeCell ref="A21:A23"/>
    <mergeCell ref="B8:B10"/>
    <mergeCell ref="A14:A18"/>
    <mergeCell ref="C14:E14"/>
    <mergeCell ref="C15:E15"/>
    <mergeCell ref="C16:E16"/>
    <mergeCell ref="C17:E17"/>
    <mergeCell ref="C18:E18"/>
    <mergeCell ref="A8:A10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3"/>
  <headerFooter>
    <oddHeader>&amp;C&amp;"-,Regular"&amp;9PROCESSO 23069.157535/2020-14
PREGÃO ELETRÔNICO XXX/2020</oddHeader>
    <oddFooter>&amp;L&amp;"-,Regular"&amp;9ANEXO IV-B3 - Resumo de Custos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9.421875" style="157" customWidth="1"/>
    <col min="2" max="2" width="14.7109375" style="157" customWidth="1"/>
    <col min="3" max="3" width="11.00390625" style="158" customWidth="1"/>
    <col min="4" max="4" width="11.28125" style="159" customWidth="1"/>
    <col min="5" max="5" width="9.00390625" style="159" bestFit="1" customWidth="1"/>
    <col min="6" max="6" width="10.00390625" style="159" bestFit="1" customWidth="1"/>
    <col min="7" max="7" width="10.8515625" style="159" bestFit="1" customWidth="1"/>
    <col min="8" max="8" width="10.28125" style="159" bestFit="1" customWidth="1"/>
    <col min="9" max="9" width="10.28125" style="159" customWidth="1"/>
    <col min="10" max="10" width="9.28125" style="156" bestFit="1" customWidth="1"/>
    <col min="11" max="11" width="7.421875" style="156" customWidth="1"/>
    <col min="12" max="12" width="13.00390625" style="156" customWidth="1"/>
    <col min="13" max="16384" width="9.140625" style="156" customWidth="1"/>
  </cols>
  <sheetData>
    <row r="1" spans="1:12" ht="13.5" customHeight="1">
      <c r="A1" s="259" t="s">
        <v>137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3.5" customHeight="1">
      <c r="A2" s="259" t="s">
        <v>138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3.5" customHeight="1">
      <c r="A3" s="259" t="s">
        <v>207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ht="13.5" thickBot="1"/>
    <row r="5" spans="1:12" ht="12.75">
      <c r="A5" s="277" t="s">
        <v>168</v>
      </c>
      <c r="B5" s="278"/>
      <c r="C5" s="281" t="s">
        <v>169</v>
      </c>
      <c r="D5" s="281"/>
      <c r="E5" s="277" t="s">
        <v>170</v>
      </c>
      <c r="F5" s="282"/>
      <c r="G5" s="282"/>
      <c r="H5" s="282"/>
      <c r="I5" s="278"/>
      <c r="J5" s="281" t="s">
        <v>171</v>
      </c>
      <c r="K5" s="281"/>
      <c r="L5" s="283"/>
    </row>
    <row r="6" spans="1:12" ht="45">
      <c r="A6" s="279"/>
      <c r="B6" s="280"/>
      <c r="C6" s="169" t="s">
        <v>172</v>
      </c>
      <c r="D6" s="169" t="s">
        <v>173</v>
      </c>
      <c r="E6" s="169" t="s">
        <v>174</v>
      </c>
      <c r="F6" s="169" t="s">
        <v>175</v>
      </c>
      <c r="G6" s="169" t="s">
        <v>176</v>
      </c>
      <c r="H6" s="169" t="s">
        <v>177</v>
      </c>
      <c r="I6" s="169" t="s">
        <v>178</v>
      </c>
      <c r="J6" s="170" t="s">
        <v>127</v>
      </c>
      <c r="K6" s="171" t="s">
        <v>179</v>
      </c>
      <c r="L6" s="172" t="s">
        <v>148</v>
      </c>
    </row>
    <row r="7" spans="1:12" ht="50.25">
      <c r="A7" s="173" t="s">
        <v>180</v>
      </c>
      <c r="B7" s="174" t="s">
        <v>181</v>
      </c>
      <c r="C7" s="175" t="s">
        <v>182</v>
      </c>
      <c r="D7" s="175" t="s">
        <v>183</v>
      </c>
      <c r="E7" s="175"/>
      <c r="F7" s="175"/>
      <c r="G7" s="175"/>
      <c r="H7" s="175">
        <v>585</v>
      </c>
      <c r="I7" s="175">
        <v>800</v>
      </c>
      <c r="J7" s="176">
        <f>E7/1200+F7/300+G7*((1/380)*16*(1/188.76))+H7/450+I7/2700</f>
        <v>1.5962962962962963</v>
      </c>
      <c r="K7" s="177">
        <f>E7/(15*1200)+F7/(15*300)+G7*((1/380)*16*(1/188.76))+H7/(15*900)+I7/(2700*15)</f>
        <v>0.06308641975308642</v>
      </c>
      <c r="L7" s="175"/>
    </row>
    <row r="8" spans="1:12" ht="15">
      <c r="A8" s="178" t="s">
        <v>184</v>
      </c>
      <c r="B8" s="179"/>
      <c r="C8"/>
      <c r="D8" s="178"/>
      <c r="E8" s="178">
        <f>E7</f>
        <v>0</v>
      </c>
      <c r="F8" s="178">
        <f>F7</f>
        <v>0</v>
      </c>
      <c r="G8" s="180">
        <f>G7</f>
        <v>0</v>
      </c>
      <c r="H8" s="178">
        <f>H7</f>
        <v>585</v>
      </c>
      <c r="I8" s="178">
        <f>I7</f>
        <v>800</v>
      </c>
      <c r="J8" s="181">
        <f>SUM(J7)</f>
        <v>1.5962962962962963</v>
      </c>
      <c r="K8" s="182">
        <f>K7</f>
        <v>0.06308641975308642</v>
      </c>
      <c r="L8" s="183">
        <f>L7</f>
        <v>0</v>
      </c>
    </row>
    <row r="9" spans="1:12" ht="15">
      <c r="A9" s="184" t="s">
        <v>185</v>
      </c>
      <c r="B9" s="184"/>
      <c r="C9" s="184"/>
      <c r="D9" s="184"/>
      <c r="E9" s="184"/>
      <c r="F9" s="184"/>
      <c r="G9" s="180"/>
      <c r="H9" s="180"/>
      <c r="I9" s="180"/>
      <c r="J9">
        <v>2</v>
      </c>
      <c r="K9">
        <v>0</v>
      </c>
      <c r="L9"/>
    </row>
    <row r="10" spans="1:6" ht="12.75">
      <c r="A10" s="33"/>
      <c r="B10" s="33"/>
      <c r="C10" s="33"/>
      <c r="D10" s="33"/>
      <c r="E10" s="33"/>
      <c r="F10" s="33"/>
    </row>
    <row r="11" spans="1:12" ht="12.75">
      <c r="A11" t="s">
        <v>186</v>
      </c>
      <c r="B11"/>
      <c r="C11"/>
      <c r="D11"/>
      <c r="E11"/>
      <c r="F11"/>
      <c r="G11"/>
      <c r="H11"/>
      <c r="I11"/>
      <c r="J11"/>
      <c r="K11"/>
      <c r="L11"/>
    </row>
    <row r="12" spans="1:12" ht="13.5" thickBot="1">
      <c r="A12"/>
      <c r="B12"/>
      <c r="C12"/>
      <c r="D12"/>
      <c r="E12"/>
      <c r="F12"/>
      <c r="G12"/>
      <c r="H12"/>
      <c r="I12"/>
      <c r="J12"/>
      <c r="K12"/>
      <c r="L12"/>
    </row>
    <row r="13" spans="1:12" ht="15">
      <c r="A13" s="185" t="s">
        <v>187</v>
      </c>
      <c r="B13" s="186"/>
      <c r="C13" s="187"/>
      <c r="D13" s="186"/>
      <c r="E13" s="186"/>
      <c r="F13" s="186"/>
      <c r="G13" s="186"/>
      <c r="H13" s="186"/>
      <c r="I13" s="186"/>
      <c r="J13" s="188"/>
      <c r="K13"/>
      <c r="L13"/>
    </row>
    <row r="14" spans="1:12" ht="15">
      <c r="A14" s="268" t="s">
        <v>188</v>
      </c>
      <c r="B14" s="269"/>
      <c r="C14" s="269"/>
      <c r="D14" s="269"/>
      <c r="E14" s="269"/>
      <c r="F14" s="269"/>
      <c r="G14" s="269"/>
      <c r="H14" s="269"/>
      <c r="I14" s="269"/>
      <c r="J14" s="270"/>
      <c r="K14"/>
      <c r="L14" s="189"/>
    </row>
    <row r="15" spans="1:12" ht="15">
      <c r="A15" s="268" t="s">
        <v>189</v>
      </c>
      <c r="B15" s="269"/>
      <c r="C15" s="269"/>
      <c r="D15" s="269"/>
      <c r="E15" s="269"/>
      <c r="F15" s="269"/>
      <c r="G15" s="269"/>
      <c r="H15" s="269"/>
      <c r="I15" s="269"/>
      <c r="J15" s="270"/>
      <c r="K15"/>
      <c r="L15" s="189"/>
    </row>
    <row r="16" spans="1:12" ht="15">
      <c r="A16" s="268" t="s">
        <v>190</v>
      </c>
      <c r="B16" s="269"/>
      <c r="C16" s="269"/>
      <c r="D16" s="269"/>
      <c r="E16" s="269"/>
      <c r="F16" s="269"/>
      <c r="G16" s="269"/>
      <c r="H16" s="269"/>
      <c r="I16" s="269"/>
      <c r="J16" s="270"/>
      <c r="K16"/>
      <c r="L16" s="189"/>
    </row>
    <row r="17" spans="1:12" ht="15">
      <c r="A17" s="268" t="s">
        <v>191</v>
      </c>
      <c r="B17" s="269"/>
      <c r="C17" s="269"/>
      <c r="D17" s="269"/>
      <c r="E17" s="269"/>
      <c r="F17" s="269"/>
      <c r="G17" s="269"/>
      <c r="H17" s="269"/>
      <c r="I17" s="269"/>
      <c r="J17" s="270"/>
      <c r="K17"/>
      <c r="L17"/>
    </row>
    <row r="18" spans="1:12" ht="15.75" thickBot="1">
      <c r="A18" s="271" t="s">
        <v>192</v>
      </c>
      <c r="B18" s="272"/>
      <c r="C18" s="272"/>
      <c r="D18" s="272"/>
      <c r="E18" s="272"/>
      <c r="F18" s="272"/>
      <c r="G18" s="272"/>
      <c r="H18" s="272"/>
      <c r="I18" s="272"/>
      <c r="J18" s="273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 s="189"/>
      <c r="K19"/>
      <c r="L19"/>
    </row>
    <row r="20" spans="1:12" ht="15.75" thickBot="1">
      <c r="A20" s="190"/>
      <c r="B20"/>
      <c r="C20"/>
      <c r="D20"/>
      <c r="E20"/>
      <c r="F20"/>
      <c r="G20"/>
      <c r="H20"/>
      <c r="I20"/>
      <c r="J20" s="189"/>
      <c r="K20"/>
      <c r="L20"/>
    </row>
    <row r="21" spans="1:12" ht="15">
      <c r="A21" s="274" t="s">
        <v>193</v>
      </c>
      <c r="B21" s="275"/>
      <c r="C21" s="275"/>
      <c r="D21" s="275"/>
      <c r="E21" s="275"/>
      <c r="F21" s="275"/>
      <c r="G21" s="275"/>
      <c r="H21" s="275"/>
      <c r="I21" s="275"/>
      <c r="J21" s="276"/>
      <c r="K21"/>
      <c r="L21"/>
    </row>
    <row r="22" spans="1:12" ht="15">
      <c r="A22" s="262" t="s">
        <v>194</v>
      </c>
      <c r="B22" s="263"/>
      <c r="C22" s="263"/>
      <c r="D22" s="263"/>
      <c r="E22" s="263"/>
      <c r="F22" s="263"/>
      <c r="G22" s="263"/>
      <c r="H22" s="263"/>
      <c r="I22" s="263"/>
      <c r="J22" s="264"/>
      <c r="K22"/>
      <c r="L22"/>
    </row>
    <row r="23" spans="1:12" ht="15.75" thickBot="1">
      <c r="A23" s="265" t="s">
        <v>195</v>
      </c>
      <c r="B23" s="266"/>
      <c r="C23" s="266"/>
      <c r="D23" s="266"/>
      <c r="E23" s="266"/>
      <c r="F23" s="266"/>
      <c r="G23" s="266"/>
      <c r="H23" s="266"/>
      <c r="I23" s="266"/>
      <c r="J23" s="267"/>
      <c r="K23"/>
      <c r="L23"/>
    </row>
  </sheetData>
  <sheetProtection/>
  <mergeCells count="15">
    <mergeCell ref="A1:L1"/>
    <mergeCell ref="A2:L2"/>
    <mergeCell ref="A3:L3"/>
    <mergeCell ref="A5:B6"/>
    <mergeCell ref="C5:D5"/>
    <mergeCell ref="E5:I5"/>
    <mergeCell ref="J5:L5"/>
    <mergeCell ref="A22:J22"/>
    <mergeCell ref="A23:J23"/>
    <mergeCell ref="A14:J14"/>
    <mergeCell ref="A15:J15"/>
    <mergeCell ref="A16:J16"/>
    <mergeCell ref="A17:J17"/>
    <mergeCell ref="A18:J18"/>
    <mergeCell ref="A21:J2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>
    <oddHeader>&amp;C&amp;"-,Regular"&amp;9PROCESSO 23069.157535/2020-14
PREGÃO ELETRÔNICO XXX/2020</oddHeader>
    <oddFooter>&amp;L&amp;"-,Regular"&amp;9ANEXO IV-B4 - Descrição das Áreas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 PROAES</dc:creator>
  <cp:keywords/>
  <dc:description/>
  <cp:lastModifiedBy>UFF</cp:lastModifiedBy>
  <cp:lastPrinted>2020-10-01T22:20:20Z</cp:lastPrinted>
  <dcterms:created xsi:type="dcterms:W3CDTF">2019-04-08T21:25:24Z</dcterms:created>
  <dcterms:modified xsi:type="dcterms:W3CDTF">2020-10-01T22:20:31Z</dcterms:modified>
  <cp:category/>
  <cp:version/>
  <cp:contentType/>
  <cp:contentStatus/>
</cp:coreProperties>
</file>